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0" windowWidth="16380" windowHeight="8190" tabRatio="562" activeTab="0"/>
  </bookViews>
  <sheets>
    <sheet name="CPMR" sheetId="1" r:id="rId1"/>
    <sheet name="computation" sheetId="2" r:id="rId2"/>
    <sheet name="criteria" sheetId="3" r:id="rId3"/>
    <sheet name="Questionnaire" sheetId="4" r:id="rId4"/>
    <sheet name="APCPI" sheetId="5" r:id="rId5"/>
    <sheet name="Action Plan" sheetId="6" r:id="rId6"/>
  </sheets>
  <externalReferences>
    <externalReference r:id="rId9"/>
  </externalReferences>
  <definedNames>
    <definedName name="_xlnm.Print_Area" localSheetId="4">'APCPI'!$A$1:$G$106</definedName>
    <definedName name="_xlnm.Print_Area" localSheetId="2">'criteria'!$A$1:$I$81</definedName>
    <definedName name="_xlnm.Print_Area" localSheetId="3">'Questionnaire'!$A$1:$N$202</definedName>
    <definedName name="_xlnm.Print_Titles" localSheetId="4">'APCPI'!$3:$12</definedName>
    <definedName name="_xlnm.Print_Titles" localSheetId="0">'CPMR'!$1:$7</definedName>
    <definedName name="_xlnm.Print_Area" localSheetId="4">'APCPI'!$A$1:$G$106</definedName>
    <definedName name="_xlnm.Print_Area" localSheetId="2">'criteria'!$A$1:$I$81</definedName>
    <definedName name="_xlnm.Print_Area" localSheetId="3">'Questionnaire'!$A$1:$N$202</definedName>
    <definedName name="_xlnm.Print_Titles" localSheetId="4">'APCPI'!$3:$12</definedName>
    <definedName name="_xlnm.Print_Titles" localSheetId="0">'CPMR'!$1:$7</definedName>
    <definedName name="Z_1FBE1439_712E_4F1F_8734_C0F60C32FC39_.wvu.Cols" localSheetId="4">'APCPI'!$F:$F</definedName>
    <definedName name="Z_1FBE1439_712E_4F1F_8734_C0F60C32FC39_.wvu.PrintArea" localSheetId="4">'APCPI'!$A$3:$G$107</definedName>
    <definedName name="Z_1FBE1439_712E_4F1F_8734_C0F60C32FC39_.wvu.PrintTitles" localSheetId="4">'APCPI'!$11:$12</definedName>
    <definedName name="Z_511DDB7A_0108_47AF_BDC0_50C030786F44_.wvu.Cols" localSheetId="0">#N/A</definedName>
    <definedName name="Z_5208ADA2_3049_4C00_9E1D_1ECE93EDFFD9_.wvu.Cols" localSheetId="4">'APCPI'!$F:$F</definedName>
    <definedName name="Z_5208ADA2_3049_4C00_9E1D_1ECE93EDFFD9_.wvu.PrintArea" localSheetId="4">'APCPI'!$A$3:$G$107</definedName>
    <definedName name="Z_5208ADA2_3049_4C00_9E1D_1ECE93EDFFD9_.wvu.PrintTitles" localSheetId="4">'APCPI'!$11:$12</definedName>
    <definedName name="Z_7414CDCE_B93D_4AED_9A6E_7DF972EB0E7C_.wvu.Cols" localSheetId="4">'APCPI'!$F:$F</definedName>
    <definedName name="Z_7414CDCE_B93D_4AED_9A6E_7DF972EB0E7C_.wvu.PrintArea" localSheetId="4">'APCPI'!$A$3:$G$107</definedName>
    <definedName name="Z_7414CDCE_B93D_4AED_9A6E_7DF972EB0E7C_.wvu.PrintTitles" localSheetId="4">'APCPI'!$11:$12</definedName>
    <definedName name="Z_8E31F905_7A8F_4207_9403_1AFFE45BC3EA_.wvu.Cols" localSheetId="0">#N/A</definedName>
    <definedName name="Z_9E59C752_5E12_483C_BD5C_E30E342F93EE_.wvu.Cols" localSheetId="0">#N/A</definedName>
    <definedName name="Z_A9E7B955_7A46_4D7E_8485_CA89A67AA3A2_.wvu.Cols" localSheetId="0">#N/A</definedName>
    <definedName name="Z_B833247E_1C5D_414F_A631_7C276B107EC8_.wvu.Cols" localSheetId="4">'APCPI'!$F:$F</definedName>
    <definedName name="Z_B833247E_1C5D_414F_A631_7C276B107EC8_.wvu.PrintArea" localSheetId="4">'APCPI'!$A$3:$G$107</definedName>
    <definedName name="Z_B833247E_1C5D_414F_A631_7C276B107EC8_.wvu.PrintTitles" localSheetId="4">'APCPI'!$11:$12</definedName>
    <definedName name="Z_C12A0D5A_0B26_EA4E_8404_1DDC84A69C4E_.wvu.Cols" localSheetId="0">#N/A</definedName>
    <definedName name="Z_F805627A_B178_40DF_B585_0CC4F12C0AD8_.wvu.Cols" localSheetId="0">#N/A</definedName>
    <definedName name="Z_FF9B173B_48BB_4BFB_8A7A_6A560D290847_.wvu.Cols" localSheetId="4">'APCPI'!$F:$F</definedName>
    <definedName name="Z_FF9B173B_48BB_4BFB_8A7A_6A560D290847_.wvu.PrintArea" localSheetId="4">'APCPI'!$A$3:$G$107</definedName>
    <definedName name="Z_FF9B173B_48BB_4BFB_8A7A_6A560D290847_.wvu.PrintTitles" localSheetId="4">'APCPI'!$11:$12</definedName>
  </definedNames>
  <calcPr fullCalcOnLoad="1"/>
</workbook>
</file>

<file path=xl/sharedStrings.xml><?xml version="1.0" encoding="utf-8"?>
<sst xmlns="http://schemas.openxmlformats.org/spreadsheetml/2006/main" count="794" uniqueCount="443">
  <si>
    <t>ANNEX  B</t>
  </si>
  <si>
    <t>GOVERNMENT PROCUREMENT POLICY BOARD</t>
  </si>
  <si>
    <t>CONSOLIDATED PROCUREMENT MONITORING REPORT</t>
  </si>
  <si>
    <t>(Page 1 of 2)</t>
  </si>
  <si>
    <t>(Page 2 of 2)</t>
  </si>
  <si>
    <t xml:space="preserve"> </t>
  </si>
  <si>
    <t>Total Amount of Approved APP</t>
  </si>
  <si>
    <t>Total Number of  Procurement Activities</t>
  </si>
  <si>
    <t xml:space="preserve">No. of Contracts Awarded </t>
  </si>
  <si>
    <t>Total Amount of Contracts Awarded</t>
  </si>
  <si>
    <t>No. of Failed Biddings</t>
  </si>
  <si>
    <t>Total No. of Entities who Acquired Bid Docs</t>
  </si>
  <si>
    <t>Total No. of Bidders who Submitted Bids</t>
  </si>
  <si>
    <t xml:space="preserve">Total No. of  Bidders who passed Eligibility Stage </t>
  </si>
  <si>
    <t>No. of Bid Opportunities Posted at PhilGEPS</t>
  </si>
  <si>
    <t>No. of Contract Award Posted at PhilGEPS</t>
  </si>
  <si>
    <t>Total No. Of Contracts that incurred negative slippage</t>
  </si>
  <si>
    <t>Total No. of contracts with  amendments to order or variation orders</t>
  </si>
  <si>
    <t>Ave. No. of Days for Approval of Resolution/Issuance of Notice of Award</t>
  </si>
  <si>
    <t>No. of Contracts  with Observers  Attending</t>
  </si>
  <si>
    <t>No. of Contracts  with COA Observers Attending</t>
  </si>
  <si>
    <t xml:space="preserve">Ave. No.of Days to Resolve Requests for Reconsiderations / Protests </t>
  </si>
  <si>
    <t>No. of Contracts Awarded within prescribed timeframes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</si>
  <si>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</si>
  <si>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</si>
  <si>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</si>
  <si>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</si>
  <si>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</si>
  <si>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</si>
  <si>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</si>
  <si>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</si>
  <si>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</si>
  <si>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</si>
  <si>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</si>
  <si>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</si>
  <si>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</si>
  <si>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</si>
  <si>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</si>
  <si>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</si>
  <si>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</si>
  <si>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</si>
  <si>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1. Public Bidding*</t>
  </si>
  <si>
    <t xml:space="preserve"> 1.1.  Goods</t>
  </si>
  <si>
    <t xml:space="preserve"> 1.2.  Works</t>
  </si>
  <si>
    <t xml:space="preserve"> 1.3.  Consulting Services</t>
  </si>
  <si>
    <t xml:space="preserve">              Sub-Total </t>
  </si>
  <si>
    <t>N/A</t>
  </si>
  <si>
    <t xml:space="preserve">2. Alternative Modes </t>
  </si>
  <si>
    <t xml:space="preserve">  2.1.1 Shopping (52.1 b above 50K)</t>
  </si>
  <si>
    <t xml:space="preserve">  2.1.2 Shopping (Others)</t>
  </si>
  <si>
    <t xml:space="preserve">  2.2. Direct Contracting </t>
  </si>
  <si>
    <t xml:space="preserve">  2.3. Repeat Order</t>
  </si>
  <si>
    <t xml:space="preserve">  2.4. Limited Source Bidding</t>
  </si>
  <si>
    <t xml:space="preserve">  2.5.1 Negotiation (Common-Use Supplies)</t>
  </si>
  <si>
    <t xml:space="preserve">  2.5.2 Negotiation (TFB 53.1)</t>
  </si>
  <si>
    <t xml:space="preserve">  2.5.3 Negotiation (SVP 53.9 above 50K)</t>
  </si>
  <si>
    <t xml:space="preserve">  2.5.4 Negotiation (Others)</t>
  </si>
  <si>
    <t>3. Foreign Funded Procurement**</t>
  </si>
  <si>
    <t xml:space="preserve">  3.1. Publicly-Bid </t>
  </si>
  <si>
    <t xml:space="preserve">  3.2. Alternative Modes</t>
  </si>
  <si>
    <t>4. Others, specify:</t>
  </si>
  <si>
    <t>TOTAL</t>
  </si>
  <si>
    <t xml:space="preserve">* Should include foreign-funded publicly-bid projects per procurement type </t>
  </si>
  <si>
    <t>** All procurement using Foreign Funds excluding National Competitive Bidding (NCB) contracts; conversion to peso will be at BSP rates at the time the bids/quotations were submitted</t>
  </si>
  <si>
    <t>Agency Score</t>
  </si>
  <si>
    <t>Sub-indicator 1a</t>
  </si>
  <si>
    <t>Sub-indicator 1b</t>
  </si>
  <si>
    <t>Sub-indicator 2a</t>
  </si>
  <si>
    <t>Sub-indicator 2b</t>
  </si>
  <si>
    <t>Sub-indicator 2c</t>
  </si>
  <si>
    <t>Sub-indicator 2d</t>
  </si>
  <si>
    <t>Sub-indicator 2e</t>
  </si>
  <si>
    <t>Sub-indicator 3a</t>
  </si>
  <si>
    <t>Sub-indicator 3b</t>
  </si>
  <si>
    <t>Sub-indicator 3c</t>
  </si>
  <si>
    <t>Sub-indicator 6a</t>
  </si>
  <si>
    <t>Sub-indicator 6b</t>
  </si>
  <si>
    <t>Sub-indicator 6c</t>
  </si>
  <si>
    <t>Sub-indicator 8a</t>
  </si>
  <si>
    <t>Sub-indicator 8b</t>
  </si>
  <si>
    <t>Sub-indicator 8c</t>
  </si>
  <si>
    <t>Sub-indicator 9a</t>
  </si>
  <si>
    <t>Sub-indicator 9b</t>
  </si>
  <si>
    <t>Sub-indicator 9c</t>
  </si>
  <si>
    <t>Sub-indicator 13b</t>
  </si>
  <si>
    <t>ANNEX C</t>
  </si>
  <si>
    <t>APCPI Revised Scoring and Rating System</t>
  </si>
  <si>
    <t>No.</t>
  </si>
  <si>
    <t>Assessment Conditions</t>
  </si>
  <si>
    <t>Poor/Not Compliant (0)</t>
  </si>
  <si>
    <t>Acceptable (1)</t>
  </si>
  <si>
    <t xml:space="preserve">Satisfactory (2) </t>
  </si>
  <si>
    <t>Very Satisfactory/ Compliant (3)</t>
  </si>
  <si>
    <t>Very Satisfactory/Compliant (3)</t>
  </si>
  <si>
    <t xml:space="preserve">Not Compliant </t>
  </si>
  <si>
    <t>PILLAR I. COMPLIANCE WITH LEGISLATIVE AND REGULATORY FRAMEWORK</t>
  </si>
  <si>
    <t xml:space="preserve">Compliant </t>
  </si>
  <si>
    <t>Indicator 1. Competitive Bidding as Default Procurement Method</t>
  </si>
  <si>
    <t>n/a</t>
  </si>
  <si>
    <t>(a) Percentage of public bidding contracts in terms of amount of total procurement</t>
  </si>
  <si>
    <t>Below 70.00%</t>
  </si>
  <si>
    <t>Between 70.00-80.99%</t>
  </si>
  <si>
    <t>Between 81.00-90.99%</t>
  </si>
  <si>
    <t>Between 91.00-100%</t>
  </si>
  <si>
    <t>Below 20.00%</t>
  </si>
  <si>
    <t>Between 20.00- 39.99%</t>
  </si>
  <si>
    <t>Between 40.00-50.00%</t>
  </si>
  <si>
    <t>Above 50.00%</t>
  </si>
  <si>
    <t>Partially Compliant</t>
  </si>
  <si>
    <t xml:space="preserve">Indicator 2. Alternative Methods of Procurement </t>
  </si>
  <si>
    <t>Substantially Compliant</t>
  </si>
  <si>
    <t>(a) Percentage of Shopping contracts in terms of amount of total procurement</t>
  </si>
  <si>
    <t>Above 6.00%</t>
  </si>
  <si>
    <t>Between 5.00-6.00%</t>
  </si>
  <si>
    <t>Between 3.00-4.99%</t>
  </si>
  <si>
    <t>Below 3.00%</t>
  </si>
  <si>
    <t xml:space="preserve">Fully Compliant </t>
  </si>
  <si>
    <t>(b) Percentage of Negotiated Procurement in terms of amount of total procurement</t>
  </si>
  <si>
    <t>Above 12.00%</t>
  </si>
  <si>
    <t>Between 8.00-12.00%</t>
  </si>
  <si>
    <t>Between 3.00 - 7.99%</t>
  </si>
  <si>
    <t>(c) Percentage of Direct Contracting in terms of amount of total procurement</t>
  </si>
  <si>
    <t>Above 4.00%</t>
  </si>
  <si>
    <t>Between 3.00-4.00%</t>
  </si>
  <si>
    <t>Between 1.00-2.99%</t>
  </si>
  <si>
    <t>Below 1.00%</t>
  </si>
  <si>
    <t>(d) Percentage of Repeat Order contracts in terms of amount of total procurement</t>
  </si>
  <si>
    <t>Less than 60.00% Trained</t>
  </si>
  <si>
    <t>(e) Percentage of Limited Source contracts in terms of amount of total procurement</t>
  </si>
  <si>
    <t>Between 60.00-75.99% Trained</t>
  </si>
  <si>
    <t>(f ) Preparation of Annual Procurement Plan for Common-Use Supplies and Equipment (APP-CSE) and Procurement of Common-Use Supplies and Equipment from the Procurement Service</t>
  </si>
  <si>
    <t>Between 76.00-90.99% Trained</t>
  </si>
  <si>
    <t>Indicator 3. Competitiveness of the Bidding Process</t>
  </si>
  <si>
    <t xml:space="preserve">(a) Average number of entities who acquired bidding documents </t>
  </si>
  <si>
    <t>Below 3.00</t>
  </si>
  <si>
    <t>3.00-3.99</t>
  </si>
  <si>
    <t>4.00-5.99</t>
  </si>
  <si>
    <t>6.00 and above</t>
  </si>
  <si>
    <t xml:space="preserve">(b) Average number of bidders who submitted bids </t>
  </si>
  <si>
    <t>Below 2.00</t>
  </si>
  <si>
    <t>2.00-2.99</t>
  </si>
  <si>
    <t>3.00-4.99</t>
  </si>
  <si>
    <t>5.00 and above</t>
  </si>
  <si>
    <t>After 45 days</t>
  </si>
  <si>
    <t>(c) Average number of bidders who passed eligibility stage</t>
  </si>
  <si>
    <t>Below 1.00</t>
  </si>
  <si>
    <t>1.00 – 1.99</t>
  </si>
  <si>
    <t>3.00 and above</t>
  </si>
  <si>
    <t>Between 38-45 days</t>
  </si>
  <si>
    <t>(d) Sufficient period to prepare bids</t>
  </si>
  <si>
    <t>Between 31-37 days</t>
  </si>
  <si>
    <t>On or before 30 days</t>
  </si>
  <si>
    <t>PILLAR II. AGENCY INSTITUTIONAL FRAMEWORK AND MANAGEMENT CAPACITY</t>
  </si>
  <si>
    <t>Indicator 4. Presence of Procurement Organizations</t>
  </si>
  <si>
    <t>Below 60% compliance</t>
  </si>
  <si>
    <t>(a) Creation of Bids and Awards Committees (BACs)</t>
  </si>
  <si>
    <t>Between 61-70.99%  compliance</t>
  </si>
  <si>
    <t>(b) Creation of a BAC Secretariat or Procurement Unit</t>
  </si>
  <si>
    <t>Between 71-89.99%  compliance</t>
  </si>
  <si>
    <t>Above 90-100%  compliance</t>
  </si>
  <si>
    <t>Indicator 5. Procurement Planning and Implementation</t>
  </si>
  <si>
    <t xml:space="preserve">(a) APP is prepared for all types of procurement </t>
  </si>
  <si>
    <t>Indicator 6. Use of Philippine Government Electronic Procurement System (PhilGEPs)</t>
  </si>
  <si>
    <t>(a) Percentage of bid opportunities  posted by the Phil-GEPs-registered Agency</t>
  </si>
  <si>
    <t>Below 70.99%</t>
  </si>
  <si>
    <t>Between 71.00-80.99%</t>
  </si>
  <si>
    <t>Above 91.00%</t>
  </si>
  <si>
    <t>(b) Percentage of contract award information posted by the Phil-GEPs-registered Agency</t>
  </si>
  <si>
    <t>Between 20.00- 50.99%</t>
  </si>
  <si>
    <t>Between 51.00-80.00%</t>
  </si>
  <si>
    <t>Above 80.00%</t>
  </si>
  <si>
    <t>(c) Percentage of contract awards procured through alternative methods posted by the Phil-GEPs-registered Agency</t>
  </si>
  <si>
    <t>Between 20.00 - 50.99%</t>
  </si>
  <si>
    <t xml:space="preserve">Indicator 7. System for Disseminating and Monitoring Procurement Information </t>
  </si>
  <si>
    <t>(a) Presence of website that provides up-to-date procurement information easily accessible at no cost</t>
  </si>
  <si>
    <t>(b) Preparation of Procurement Monitoring Reports using the prescribed format, prompt submission to GPPB, and posting in agency website</t>
  </si>
  <si>
    <t>PILLAR III. PROCUREMENT OPERATIONS AND MARKET PRACTICES</t>
  </si>
  <si>
    <t>Indicator 8. Efficiency of Procurement Processes</t>
  </si>
  <si>
    <t>(a) Percentage of total amount of procurement awarded against total amount of approved APPs</t>
  </si>
  <si>
    <t>Below 40.00% or above 100.00%</t>
  </si>
  <si>
    <t>Between 40.00- 60.99%</t>
  </si>
  <si>
    <t>Between 61.00% -80.00%</t>
  </si>
  <si>
    <t>(b) Percentage of total number of contracts awarded against total number of  procurement activities done through public bidding</t>
  </si>
  <si>
    <t>Below 90.00%</t>
  </si>
  <si>
    <t>Between 90.00- 92.99%</t>
  </si>
  <si>
    <t>Between 93.00-95.00%</t>
  </si>
  <si>
    <t>Above 95.00%</t>
  </si>
  <si>
    <t>(c) Percentage of failed biddings and total number of procurement activities conducted</t>
  </si>
  <si>
    <t>Above 10.00%</t>
  </si>
  <si>
    <t>Between 8.00-10.00%</t>
  </si>
  <si>
    <t>Between 5.00-7.99%</t>
  </si>
  <si>
    <t>Below 5.00%</t>
  </si>
  <si>
    <t>Indicator 9:  Compliance with Procurement Timeframes</t>
  </si>
  <si>
    <t>(a)  Percentage of contracts awarded within the prescribed period to procure  goods as indicated in Annex "C" of the IRR</t>
  </si>
  <si>
    <t>Between 90.00 to 95.99%</t>
  </si>
  <si>
    <t>Between 96.00 to 99.99%</t>
  </si>
  <si>
    <t>(b)  Percentage of contracts awarded within the prescribed period to procure infrastructure projects  as indicated in Annex "C" of the IRR</t>
  </si>
  <si>
    <t>(c)  Percentage of contracts awarded within the prescribed period to procure  consulting services  as indicated in Annex "C" of the IRR</t>
  </si>
  <si>
    <t>Indicator 10. Capacity Building for Government Personnel and Private Sector Participants</t>
  </si>
  <si>
    <t>(a) There is a system within the procuring entity to evaluate the performance of procurement personnel</t>
  </si>
  <si>
    <t>(b) Percentage of participation of procurement staff in annual procurement training</t>
  </si>
  <si>
    <t>Between 91.00-100% Trained</t>
  </si>
  <si>
    <t xml:space="preserve">(c)  Agency has actvities to inform and update entities on public procurement </t>
  </si>
  <si>
    <t>Indicator 11. Management of Procurement and Contract Management Records</t>
  </si>
  <si>
    <t>(a) The BAC Secretariat has a system for keeping and maintaining procurement records</t>
  </si>
  <si>
    <t>(b)  Implementing Units has and is implementing a system for keeping and maintaining  contract management records</t>
  </si>
  <si>
    <t>Indicator 12. Contract Management Procedures</t>
  </si>
  <si>
    <t>(a) Agency has well defined procedures and standards for  quality control, acceptance and inspection, supervision of works  and evaluation of contractors’ performance</t>
  </si>
  <si>
    <t>(b) Agency complies with  the thresholds prescribed for amendment to order, variation orders, advance payment, and slippage in publicly bid contracts.</t>
  </si>
  <si>
    <t>(c) Timely payment of procurement contracts</t>
  </si>
  <si>
    <t>PILLAR IV. INTEGRITY AND TRANSPARENCY OF AGENCY PROCUREMENT SYSTEMS</t>
  </si>
  <si>
    <t xml:space="preserve">Indicator 13. Observer Participation in Public Bidding </t>
  </si>
  <si>
    <t>(a) Observers are invited to all stages of every public bidding activity</t>
  </si>
  <si>
    <t>(b) Attendance of Observers in public bidding activities</t>
  </si>
  <si>
    <t>Below 70%</t>
  </si>
  <si>
    <t xml:space="preserve"> Between 70- 79.99%</t>
  </si>
  <si>
    <t xml:space="preserve"> Between 80 - 89.99%</t>
  </si>
  <si>
    <t xml:space="preserve">Above 90- 100% </t>
  </si>
  <si>
    <t>Indicator 14. Internal and External Audit of Procurement Activities</t>
  </si>
  <si>
    <t>(a) Creation and operation of internal audit unit as prescribed by DBM (Circular Letter No. 2008-5, April14, 2008)</t>
  </si>
  <si>
    <t>(b) Agency Action on Prior Year's Audit Recommendations (APYAR) on procurement related transactions</t>
  </si>
  <si>
    <t>Indicator 15. Capacity to Handle Procurement Related Complaints</t>
  </si>
  <si>
    <t>(a) The Procuring Entity has an efficient procurement complaints system and has the capacity to comply with procedural requirements</t>
  </si>
  <si>
    <t xml:space="preserve">Indicator 16. Anti-Corruption Programs Related to Procurement </t>
  </si>
  <si>
    <t>(a) Agency has a specific anti-corruption program/s related to procurement</t>
  </si>
  <si>
    <t>Name of Agency:</t>
  </si>
  <si>
    <t>Date:</t>
  </si>
  <si>
    <t>Name of Respondent:</t>
  </si>
  <si>
    <t>Position:</t>
  </si>
  <si>
    <t>1. Do you prepare an Annual Procurement Plan for all types of procurement? (5a)</t>
  </si>
  <si>
    <t>Yes</t>
  </si>
  <si>
    <t>No</t>
  </si>
  <si>
    <t>2. Do you prepare an Annual Procurement Plan for Common-Use Supplies and Equipment (APP-CSE) and</t>
  </si>
  <si>
    <t>Procure your Common-Use Supplies and Equipment from the Procurement Service? (2f)</t>
  </si>
  <si>
    <t>3. In giving your prospective bidders sufficient period to prepare their bids, which of these conditions is/are met? (3d)</t>
  </si>
  <si>
    <t>Bidding documents are available at the time of advertisement/posting at the PhilGEPS website or</t>
  </si>
  <si>
    <t>Agency website;</t>
  </si>
  <si>
    <t>Supplemental bid bulletins are issued at least seven (7) calendar days before bid opening;</t>
  </si>
  <si>
    <t>Minutes of pre-bid conference are readily available within three (3) days.</t>
  </si>
  <si>
    <t>4. In creating your BAC and BAC Secretariat which of these conditions is/are present?</t>
  </si>
  <si>
    <t>For BAC: (4a)</t>
  </si>
  <si>
    <t>Office Order creating the Bids and Awards Committee;</t>
  </si>
  <si>
    <t>There are at least five (5) members of the BAC;</t>
  </si>
  <si>
    <t>Members of BAC meet qualifications; and/or</t>
  </si>
  <si>
    <t>Majority of the members of BAC are trained on R.A. 9184</t>
  </si>
  <si>
    <t>For BAC Secretariat: (4b)</t>
  </si>
  <si>
    <t>Office Order creating of Bids and Awards Committee Secretariat or designing Procurement Unit to</t>
  </si>
  <si>
    <t>act as BAC Secretariat</t>
  </si>
  <si>
    <t>The Head of the BAC Secretariat meets the minimum qualifications</t>
  </si>
  <si>
    <t>Majority of the members of BAC Secretariat are trained on R.A. 9184</t>
  </si>
  <si>
    <t>5.  In determining whether you provide up-to-date procurement information easily accessible at no cost, which of</t>
  </si>
  <si>
    <t>these conditions is/are met? (7a)</t>
  </si>
  <si>
    <t>Agency has a working website</t>
  </si>
  <si>
    <t>Procurement information is up-to-date</t>
  </si>
  <si>
    <t>Information is easily accessible at no cost</t>
  </si>
  <si>
    <t>6. In complying with the preparation, posting and submission of your agency’s Procurement Monitoring Report,</t>
  </si>
  <si>
    <t>which of these conditions is/are met?  (7b)</t>
  </si>
  <si>
    <t>Agency prepares the PMRs</t>
  </si>
  <si>
    <t>PMRs are promptly submitted to the GPPB</t>
  </si>
  <si>
    <t>PMRs are posted in the agency website</t>
  </si>
  <si>
    <t>PMRs are prepared using the prescribed format</t>
  </si>
  <si>
    <t>7. In evaluating the performance of your procurement personnel, which of these conditions is/are present? (10a)</t>
  </si>
  <si>
    <t>There is a written procedure within the procuring entity in evaluating the performance of procurement</t>
  </si>
  <si>
    <t>personnel</t>
  </si>
  <si>
    <t>Procuring entity communicates standards of evaluation to procurement personnel</t>
  </si>
  <si>
    <t>Procuring entity acts on the results and takes corresponding action</t>
  </si>
  <si>
    <t>8.  Have all of your procurement staff participated in annual procurement training? (10b)</t>
  </si>
  <si>
    <t>If no, please indicate the how many of your procurement staff participated in annual procurement</t>
  </si>
  <si>
    <t>training:</t>
  </si>
  <si>
    <t>out of</t>
  </si>
  <si>
    <t>9. Do you conduct dialogue to inform and update bidders on the procurement regulations?  (10c)</t>
  </si>
  <si>
    <t>If yes, how often ?</t>
  </si>
  <si>
    <t>times/year</t>
  </si>
  <si>
    <t>10. In determining whether the BAC Secretariat has a system for keeping and maintaining procurement records,</t>
  </si>
  <si>
    <t>which of these conditions is/are present? (11a)</t>
  </si>
  <si>
    <t>There is a list of contract management related documents that are maintained for a period of at least</t>
  </si>
  <si>
    <t>five years</t>
  </si>
  <si>
    <t>The documents are kept in a duly designated and secure location with hard copies kept in appropriate</t>
  </si>
  <si>
    <t>filing cabinets and soft copies in dedicated computers</t>
  </si>
  <si>
    <t>The documents are properly filed, segregated, easy to retrieve and accessible to authorized users and</t>
  </si>
  <si>
    <t>audit personnel</t>
  </si>
  <si>
    <t>11.  In determining whether the Implementing Units has a system for keeping and maintaining procurement records,</t>
  </si>
  <si>
    <t>which of these conditions is/are present? (11b)</t>
  </si>
  <si>
    <t>12. In determining if the agency has well defined and written procedures for quality control, acceptance and inspection</t>
  </si>
  <si>
    <t>of goods, works and services, which of these conditions is/are present? (12a)</t>
  </si>
  <si>
    <t>Agency has written procedures for quality control, acceptance and inspection of goods, services and</t>
  </si>
  <si>
    <t>works</t>
  </si>
  <si>
    <t>Supervision of civil works is carried out by qualified construction supervisors</t>
  </si>
  <si>
    <t>Agency implements CPES for its works projects and uses results to check contractors' qualifications</t>
  </si>
  <si>
    <t>(applicable for works only)</t>
  </si>
  <si>
    <t>13. In determining whether your agency complies with the thresholds prescribed for amendments to order, variation</t>
  </si>
  <si>
    <t>orders, advance payment, and slippage in publicly bid contracts, which of these conditions is/are met? (12b)</t>
  </si>
  <si>
    <t>Amendments to order or variation orders, if any, are within ten percent (10%) of the original contract</t>
  </si>
  <si>
    <t>price</t>
  </si>
  <si>
    <t>Advance payment(s) made does/do not exceed fifteen percent (15%) of the contract amount</t>
  </si>
  <si>
    <t>Goods, works and services are timely delivered</t>
  </si>
  <si>
    <t>14. How long it will take for your agency to release the final payment to your supplier/service provider,</t>
  </si>
  <si>
    <t>contractor/consultant?   (12c)</t>
  </si>
  <si>
    <t>days</t>
  </si>
  <si>
    <t>15. Do you invite Observers in all stages of procurement?  (13a)</t>
  </si>
  <si>
    <t>(please mark all applicable stages)</t>
  </si>
  <si>
    <t>Ads/Post of IAEB</t>
  </si>
  <si>
    <t>Pre-bid Conference</t>
  </si>
  <si>
    <t>Eligibility Check</t>
  </si>
  <si>
    <t>Submission/Opening of Bids</t>
  </si>
  <si>
    <t>Bid Evaluation</t>
  </si>
  <si>
    <t>Post Qualification</t>
  </si>
  <si>
    <t>Notice of Award</t>
  </si>
  <si>
    <t>Contract Signing/Approve Purchase Order</t>
  </si>
  <si>
    <t>Notice to Proceed</t>
  </si>
  <si>
    <r>
      <t>16. In creating and operating your Internal Audit Unit as prescribed by the DBM</t>
    </r>
    <r>
      <rPr>
        <i/>
        <sz val="11"/>
        <color indexed="8"/>
        <rFont val="Arial"/>
        <family val="2"/>
      </rPr>
      <t xml:space="preserve"> </t>
    </r>
    <r>
      <rPr>
        <sz val="11"/>
        <color indexed="8"/>
        <rFont val="Arial"/>
        <family val="2"/>
      </rPr>
      <t xml:space="preserve">(Circular Letter No. 2008-5, </t>
    </r>
  </si>
  <si>
    <t>April 14, 2008), which set of conditions were present? (14a)</t>
  </si>
  <si>
    <t>Office Order creating the Internal Audit Unit as prescribed by the DBM</t>
  </si>
  <si>
    <t>(Circular Letter No. 2008-5, April 14, 2008)</t>
  </si>
  <si>
    <t>Conduct of regular audit of procurement processes and transactions by internal audit unit</t>
  </si>
  <si>
    <t>Internal audit recommendations on procurement-related matters are implemented within 6 months of</t>
  </si>
  <si>
    <t>the submission of the auditor's report</t>
  </si>
  <si>
    <t>17. Are COA recommendations responded to or implemented within six months of the submission of the auditors’</t>
  </si>
  <si>
    <t>report? (14b)</t>
  </si>
  <si>
    <t>If yes, percentage of COA recommendations responded to or implemented within six months</t>
  </si>
  <si>
    <t>%</t>
  </si>
  <si>
    <t>No procurement related recommendations received</t>
  </si>
  <si>
    <t>18. In determining whether the Procuring Entity has an efficient procurement complaints system and has the capacity</t>
  </si>
  <si>
    <t>to comply with procedural requirements, which of conditions is/are present? (15a)</t>
  </si>
  <si>
    <t>The BAC and the HOPE resolved Requests for Reconsideration and Protests within seven (7)</t>
  </si>
  <si>
    <t>calendar days as per Section 55 of the IRR and decisions</t>
  </si>
  <si>
    <t>Decisions on Protests are submitted to GPPB</t>
  </si>
  <si>
    <t>Procuring entity acts upon and adopts specific measures to address procurement-related complaints,</t>
  </si>
  <si>
    <t>referrals, subpoenas by the Omb, COA, GPPB or any quasi-judicial/quasi-administrative body</t>
  </si>
  <si>
    <r>
      <t xml:space="preserve">19. In determining whether </t>
    </r>
    <r>
      <rPr>
        <sz val="11"/>
        <color indexed="8"/>
        <rFont val="Calibri"/>
        <family val="2"/>
      </rPr>
      <t xml:space="preserve">agency has a specific anti-corruption program/s related to procurement, </t>
    </r>
    <r>
      <rPr>
        <sz val="11"/>
        <color indexed="8"/>
        <rFont val="Arial"/>
        <family val="2"/>
      </rPr>
      <t>which of these</t>
    </r>
  </si>
  <si>
    <t>conditions is/are present? (16a)</t>
  </si>
  <si>
    <t>Agency has a specific good governance program including anti-corruption and integrity development;</t>
  </si>
  <si>
    <t>Agency has a specific office responsible for the implementation of good governance programs;</t>
  </si>
  <si>
    <t>Agency has specific policies and procedures in place for detection and prevention of corruption</t>
  </si>
  <si>
    <t>associated with procurement.</t>
  </si>
  <si>
    <t>ANNEX A</t>
  </si>
  <si>
    <t>Agency Procurement Compliance and Performance Indicator (APCPI) Self-Assessment Form</t>
  </si>
  <si>
    <t xml:space="preserve">APCPI Rating* </t>
  </si>
  <si>
    <t>Comments/Findings to the Indicators and SubIndicators</t>
  </si>
  <si>
    <t>Comments</t>
  </si>
  <si>
    <t>Supporting Information/Documentation (Not to be Included in the Evaluation Form Submitted to GPPB)</t>
  </si>
  <si>
    <t>PMRs</t>
  </si>
  <si>
    <t>(b) Percentage of public bidding contracts in terms of volume of total procurement</t>
  </si>
  <si>
    <t xml:space="preserve">Indicator 2. Limited Use of Alternative Methods of Procurement </t>
  </si>
  <si>
    <t>APP, APP-CSE, PMR</t>
  </si>
  <si>
    <t>Agency records and/or PhilGEPS records</t>
  </si>
  <si>
    <t>Abstract of Bids or other agency records</t>
  </si>
  <si>
    <t xml:space="preserve">
(d) Sufficient period to prepare bids
</t>
  </si>
  <si>
    <t xml:space="preserve">Average I     </t>
  </si>
  <si>
    <t xml:space="preserve">(a) Creation of Bids and Awards Committee(s) </t>
  </si>
  <si>
    <t>Verify copy of Order creating BAC; Organizational Chart; and Certification of Training</t>
  </si>
  <si>
    <t>(b)  Creation of a BAC Secretariat or Procurement Unit</t>
  </si>
  <si>
    <t>Verify copy of Order creating BAC Secretariat; Organizational Chart; and Certification of Training</t>
  </si>
  <si>
    <t>Copy of APP and its supplements (if any)</t>
  </si>
  <si>
    <t>Indicator 6. Use of Philippine Government Electronic Procurement System (PhilGEPS)</t>
  </si>
  <si>
    <t>Identify specific procurement-related portion  in the agency website and specific website links</t>
  </si>
  <si>
    <t>Copy of PMR and received copy that it was submitted to GPPB</t>
  </si>
  <si>
    <t xml:space="preserve">Average II     </t>
  </si>
  <si>
    <t>Indicator 8.  Efficiency of Procurement Processes</t>
  </si>
  <si>
    <t>(a) Percentage of total amount of contracts awarded against total amount of approved APPs</t>
  </si>
  <si>
    <t>APP (including Supplemental amendments, if any) and PMRs</t>
  </si>
  <si>
    <t>APP(including Supplemental amendments, if any)and PMRs</t>
  </si>
  <si>
    <t>APP  (including Supplemental Amendments, if any) and PMRs</t>
  </si>
  <si>
    <t xml:space="preserve">Indicator 9. Compliance with Procurement Timeframes </t>
  </si>
  <si>
    <t>(a)  Percentage of contracts awarded within prescribed procurement time frames to procure goods as indicated in Annex "C" of the IRR</t>
  </si>
  <si>
    <t>(b)  Percentage of contracts awarded within prescribed procurement time frames to procure infrastructure projects  as indicated in Annex "C" of the IRR</t>
  </si>
  <si>
    <t>No actual copy of APP was provided only total procurements</t>
  </si>
  <si>
    <t>(c)  Percentage of contracts awarded within prescribed procurement time frames to procure consulting services  as indicated in Annex "C" of the IRR</t>
  </si>
  <si>
    <t>Ask BAC Secretariat Head, verify Office Orders on training of Procurement Staff</t>
  </si>
  <si>
    <t>Ask for copies of Office Orders, training modules, list of participants, schedules of actual training conducted</t>
  </si>
  <si>
    <t>Ask for copies of documentation of activities for bidders</t>
  </si>
  <si>
    <t>Verify actual procurement records and time it took to retrieve records (should be no more than two hours)
Refer to Section 4.1 of User's Manual for list of procurement-related documents for record-keeping and maintenance.</t>
  </si>
  <si>
    <t xml:space="preserve">(b)  Implementing Unit has and is implementing a system for keeping and maintaining contract management records </t>
  </si>
  <si>
    <t>Verify actual contract management records and time it took to retrieve records should be no more than two hours</t>
  </si>
  <si>
    <t>Verify copies of written procedures for quality control, acceptance and inspection; CPES evaluation formsz</t>
  </si>
  <si>
    <t>Specific procurement contract  with amendment to order, variation order or with negative slippage</t>
  </si>
  <si>
    <t>Ask Finance or Accounting Head of Agency for average period for the release of payments for procurement contracts</t>
  </si>
  <si>
    <t xml:space="preserve">Average III     </t>
  </si>
  <si>
    <t>PILLAR IV. INTEGRITY AND TRANSPARENCY OF AGENCY PROCUREMENT SYSTEM</t>
  </si>
  <si>
    <t>Verify copies of Invitation Letters to CSOs and professional associations and COA (List and average number of CSOs and PAs invited shall be noted.)</t>
  </si>
  <si>
    <t>PMRs and Abstract of Bids</t>
  </si>
  <si>
    <t>(a) Creation and operation of internal audit unit as prescribed by DBM (Circular Letter No. 2008-5, April 14, 2008)</t>
  </si>
  <si>
    <t>Verify copy of Order or show actual organizational chart showing IAU, auidt reports, action plans and IAU recommendations</t>
  </si>
  <si>
    <t>Verify COA Annual Audit Report on Action on Prior Year's Audit Recommendations</t>
  </si>
  <si>
    <t>Verify copies of BAC resolutions on Motion for Reconsiderations, Protests and Complaints; Office Orders adopting mesures to address procurement-related complaints</t>
  </si>
  <si>
    <t xml:space="preserve">Verify documentation of anti-corruption program </t>
  </si>
  <si>
    <t xml:space="preserve">Average IV     </t>
  </si>
  <si>
    <t xml:space="preserve">GRAND TOTAL (Avarege I + Average II + Average III + Average IV / 4)     </t>
  </si>
  <si>
    <t xml:space="preserve">* APCPI Rating is based on the APCPI Rating System found in Annex C of the User's Guide. Please use this rating system for the self-assessment. After completing the assessment, identify those Indicators with ratings of between 0 to 2 and formulate a procurement capacity development plan called the APCPI Action Plan based on the attached format and submit to GPPB for monitoring.  </t>
  </si>
  <si>
    <t>* For sub-indicators that are not applicable to your specific agency, please write the word Not Applicable in the second column and do not put a rating</t>
  </si>
  <si>
    <t>Summary of APCPI Scores by Pillar</t>
  </si>
  <si>
    <t>APCPI Pillars</t>
  </si>
  <si>
    <t>Ideal Rating</t>
  </si>
  <si>
    <t xml:space="preserve">Agency Rating  </t>
  </si>
  <si>
    <t>Pillar I: Compliance with Legislative and Regulatory Framework</t>
  </si>
  <si>
    <t>Pillar II: Agency Insitutional Framework and Management Capacity</t>
  </si>
  <si>
    <t>Pillar III: Procurement Operations and Market Practices</t>
  </si>
  <si>
    <t>Pillar IV. Integrity and Transparency of Agency Procurement Systems</t>
  </si>
  <si>
    <t>Total (Pillar I+Pillar II+Pillar III+ PillarIV)/4</t>
  </si>
  <si>
    <t>Annex D</t>
  </si>
  <si>
    <t>PROCUREMENT CAPACITY DEVELOPMENT ACTION PLAN TEMPLATE</t>
  </si>
  <si>
    <t>Indicators</t>
  </si>
  <si>
    <t xml:space="preserve">Key Area for Development </t>
  </si>
  <si>
    <t>Proposed Actions to Address Key Areas</t>
  </si>
  <si>
    <t>Responsible Entity</t>
  </si>
  <si>
    <t>Timetable</t>
  </si>
  <si>
    <t>Resources Needed</t>
  </si>
  <si>
    <r>
      <t>Instruction: Put a check (</t>
    </r>
    <r>
      <rPr>
        <i/>
        <sz val="11"/>
        <color indexed="8"/>
        <rFont val="Wingdings"/>
        <family val="0"/>
      </rPr>
      <t>ü</t>
    </r>
    <r>
      <rPr>
        <i/>
        <sz val="11"/>
        <color indexed="8"/>
        <rFont val="Arial"/>
        <family val="2"/>
      </rPr>
      <t>) mark inside the box beside each condition/requirement met as provided below and then fill in the corresponding blanks with numerical values only.</t>
    </r>
  </si>
  <si>
    <r>
      <t xml:space="preserve">Period  Covered:  </t>
    </r>
    <r>
      <rPr>
        <b/>
        <u val="single"/>
        <sz val="10"/>
        <color indexed="8"/>
        <rFont val="Calibri"/>
        <family val="2"/>
      </rPr>
      <t>CY 2016</t>
    </r>
  </si>
  <si>
    <r>
      <t xml:space="preserve">Name of Agency: </t>
    </r>
    <r>
      <rPr>
        <b/>
        <u val="single"/>
        <sz val="10"/>
        <rFont val="Calibri"/>
        <family val="2"/>
      </rPr>
      <t>PANGASINAN STATE UNIVERSITY</t>
    </r>
  </si>
  <si>
    <r>
      <t xml:space="preserve">Name of Evaluator: </t>
    </r>
    <r>
      <rPr>
        <b/>
        <u val="single"/>
        <sz val="10"/>
        <rFont val="Calibri"/>
        <family val="2"/>
      </rPr>
      <t>MR. JOEY F. RAMOS</t>
    </r>
  </si>
  <si>
    <t>Position: Director, Procurement</t>
  </si>
  <si>
    <t>PANGASINAN STATE UNIVERSITY</t>
  </si>
  <si>
    <t>MR. JOEY F. RAMOS</t>
  </si>
  <si>
    <t>DIRECTOR, PROCUREMENT</t>
  </si>
  <si>
    <t>ü</t>
  </si>
  <si>
    <t>BAC Chairperson</t>
  </si>
  <si>
    <t>Director, Procurement</t>
  </si>
  <si>
    <t>University President</t>
  </si>
  <si>
    <t>DR. DEXTER R. BUTED</t>
  </si>
  <si>
    <t>ALL</t>
  </si>
  <si>
    <r>
      <t xml:space="preserve">Name of Agency: </t>
    </r>
    <r>
      <rPr>
        <b/>
        <u val="single"/>
        <sz val="10"/>
        <rFont val="Arial"/>
        <family val="2"/>
      </rPr>
      <t>PANGASINAN STATE UNIVERSITY</t>
    </r>
  </si>
  <si>
    <t>APCPI Confirmation Questionnaire</t>
  </si>
  <si>
    <t>6,15,16</t>
  </si>
  <si>
    <t>All Indicators</t>
  </si>
  <si>
    <t>Competitiveness of the Bidding Process</t>
  </si>
  <si>
    <t>Increase the number of entities to participate in the public bidding.</t>
  </si>
  <si>
    <t>BAC, Prospective Bidders</t>
  </si>
  <si>
    <t>All year round</t>
  </si>
  <si>
    <t>Competitive Bidding as Default Procurement Method</t>
  </si>
  <si>
    <t>Resort to the public bidding as default mode of procurement more often. Increase the usage of public bidding in all types of procurement.</t>
  </si>
  <si>
    <t>Procurement, BAC</t>
  </si>
  <si>
    <t>Efficiency of Procurement Process</t>
  </si>
  <si>
    <t>Procurement Department, BAC Secretariat</t>
  </si>
  <si>
    <t>Once a year</t>
  </si>
  <si>
    <r>
      <t xml:space="preserve">Period: </t>
    </r>
    <r>
      <rPr>
        <b/>
        <u val="single"/>
        <sz val="10"/>
        <rFont val="Arial"/>
        <family val="2"/>
      </rPr>
      <t>2016</t>
    </r>
  </si>
  <si>
    <t>Approved budget for training / seminar.</t>
  </si>
  <si>
    <t>Revisit and reassess the questionnaire and provide actual, appropriate and relevant answer and result.</t>
  </si>
  <si>
    <t>Attend training/seminar to appreciate and understand the essence of APCPI Self Assessment Form.</t>
  </si>
  <si>
    <t>Decrease the number of failed biddings to satisfy the more percentage of total number of contracts awarded against total number of procurement activities done through public bidding. Intensify advertising strategies. Creation of marketing team which will monitor prevalent market prices and to thorughly inspec and finalize specifications particulary on the procurement of goods.</t>
  </si>
  <si>
    <t>Additional personnel.</t>
  </si>
  <si>
    <t>Justification to the 2016 APCPI rating of the university of 2.56 which is lower against its rating of 2.71 last 2015, please find below our proposed actions to address the rating efficiently and effectively.</t>
  </si>
  <si>
    <r>
      <t xml:space="preserve">Date of Self Assessment: </t>
    </r>
    <r>
      <rPr>
        <b/>
        <u val="single"/>
        <sz val="10"/>
        <rFont val="Calibri"/>
        <family val="2"/>
      </rPr>
      <t>March 29, 2017</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</si>
</sst>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_(* \(#,##0.00\);_(* \-??_);_(@_)"/>
    <numFmt numFmtId="171" formatCode="_(\$* #,##0.00_);_(\$* \(#,##0.00\);_(\$* \-??_);_(@_)"/>
    <numFmt numFmtId="172" formatCode="mmmm\ d&quot;, &quot;yyyy;@"/>
    <numFmt numFmtId="173" formatCode="_(* #,##0.0000_);_(* \(#,##0.0000\);_(* \-??_);_(@_)"/>
  </numFmts>
  <fonts count="70">
    <font>
      <sz val="10"/>
      <name val="Arial"/>
      <family val="2"/>
    </font>
    <font>
      <sz val="10"/>
      <name val="Mangal"/>
      <family val="2"/>
    </font>
    <font>
      <sz val="11"/>
      <color indexed="8"/>
      <name val="Calibri"/>
      <family val="2"/>
    </font>
    <font>
      <sz val="10"/>
      <color indexed="8"/>
      <name val="Calibri"/>
      <family val="2"/>
    </font>
    <font>
      <b/>
      <sz val="12"/>
      <color indexed="8"/>
      <name val="Calibri"/>
      <family val="2"/>
    </font>
    <font>
      <b/>
      <i/>
      <sz val="12"/>
      <color indexed="8"/>
      <name val="Calibri"/>
      <family val="2"/>
    </font>
    <font>
      <b/>
      <sz val="10"/>
      <name val="Calibri"/>
      <family val="2"/>
    </font>
    <font>
      <b/>
      <sz val="10"/>
      <color indexed="8"/>
      <name val="Calibri"/>
      <family val="2"/>
    </font>
    <font>
      <b/>
      <u val="single"/>
      <sz val="10"/>
      <color indexed="8"/>
      <name val="Calibri"/>
      <family val="2"/>
    </font>
    <font>
      <sz val="8"/>
      <color indexed="10"/>
      <name val="Calibri"/>
      <family val="2"/>
    </font>
    <font>
      <sz val="12"/>
      <color indexed="8"/>
      <name val="Times New Roman"/>
      <family val="1"/>
    </font>
    <font>
      <sz val="10"/>
      <color indexed="8"/>
      <name val="Arial"/>
      <family val="2"/>
    </font>
    <font>
      <sz val="10"/>
      <name val="Calibri"/>
      <family val="2"/>
    </font>
    <font>
      <b/>
      <sz val="11"/>
      <name val="Calibri"/>
      <family val="2"/>
    </font>
    <font>
      <b/>
      <sz val="16"/>
      <name val="Calibri"/>
      <family val="2"/>
    </font>
    <font>
      <sz val="9"/>
      <name val="Calibri"/>
      <family val="2"/>
    </font>
    <font>
      <b/>
      <i/>
      <sz val="10"/>
      <name val="Calibri"/>
      <family val="2"/>
    </font>
    <font>
      <i/>
      <sz val="10"/>
      <name val="Calibri"/>
      <family val="2"/>
    </font>
    <font>
      <sz val="11"/>
      <color indexed="8"/>
      <name val="Arial"/>
      <family val="2"/>
    </font>
    <font>
      <sz val="8"/>
      <name val="Calibri"/>
      <family val="2"/>
    </font>
    <font>
      <i/>
      <sz val="11"/>
      <color indexed="8"/>
      <name val="Arial"/>
      <family val="2"/>
    </font>
    <font>
      <sz val="8"/>
      <name val="Arial"/>
      <family val="2"/>
    </font>
    <font>
      <sz val="8"/>
      <color indexed="8"/>
      <name val="Arial"/>
      <family val="2"/>
    </font>
    <font>
      <b/>
      <sz val="10"/>
      <color indexed="8"/>
      <name val="Arial"/>
      <family val="2"/>
    </font>
    <font>
      <sz val="12"/>
      <name val="Calibri"/>
      <family val="2"/>
    </font>
    <font>
      <b/>
      <sz val="12"/>
      <name val="Calibri"/>
      <family val="2"/>
    </font>
    <font>
      <b/>
      <u val="single"/>
      <sz val="10"/>
      <name val="Calibri"/>
      <family val="2"/>
    </font>
    <font>
      <sz val="18"/>
      <color indexed="9"/>
      <name val="Calibri"/>
      <family val="2"/>
    </font>
    <font>
      <i/>
      <sz val="10"/>
      <color indexed="8"/>
      <name val="Calibri"/>
      <family val="2"/>
    </font>
    <font>
      <b/>
      <sz val="12"/>
      <name val="Arial"/>
      <family val="2"/>
    </font>
    <font>
      <b/>
      <sz val="10"/>
      <name val="Arial"/>
      <family val="2"/>
    </font>
    <font>
      <i/>
      <sz val="11"/>
      <color indexed="8"/>
      <name val="Wingdings"/>
      <family val="0"/>
    </font>
    <font>
      <sz val="8"/>
      <name val="Wingdings"/>
      <family val="0"/>
    </font>
    <font>
      <b/>
      <u val="single"/>
      <sz val="10"/>
      <color indexed="8"/>
      <name val="Arial"/>
      <family val="2"/>
    </font>
    <font>
      <b/>
      <u val="single"/>
      <sz val="10"/>
      <name val="Arial"/>
      <family val="2"/>
    </font>
    <font>
      <sz val="11"/>
      <name val="Calibri"/>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8"/>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color indexed="63"/>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ill="0" applyBorder="0" applyAlignment="0" applyProtection="0"/>
    <xf numFmtId="41" fontId="0" fillId="0" borderId="0" applyFill="0" applyBorder="0" applyAlignment="0" applyProtection="0"/>
    <xf numFmtId="170" fontId="1"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71" fontId="1" fillId="0" borderId="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ill="0" applyBorder="0" applyAlignment="0" applyProtection="0"/>
    <xf numFmtId="9" fontId="1" fillId="0" borderId="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23">
    <xf numFmtId="0" fontId="0" fillId="0" borderId="0" xfId="0" applyAlignment="1">
      <alignment/>
    </xf>
    <xf numFmtId="0" fontId="3" fillId="33" borderId="0" xfId="57" applyFont="1" applyFill="1" applyProtection="1">
      <alignment/>
      <protection locked="0"/>
    </xf>
    <xf numFmtId="2" fontId="3" fillId="33" borderId="0" xfId="57" applyNumberFormat="1" applyFont="1" applyFill="1" applyProtection="1">
      <alignment/>
      <protection locked="0"/>
    </xf>
    <xf numFmtId="0" fontId="4" fillId="33" borderId="0" xfId="57" applyFont="1" applyFill="1" applyAlignment="1" applyProtection="1">
      <alignment/>
      <protection hidden="1"/>
    </xf>
    <xf numFmtId="0" fontId="3" fillId="33" borderId="0" xfId="57" applyFont="1" applyFill="1" applyProtection="1">
      <alignment/>
      <protection hidden="1"/>
    </xf>
    <xf numFmtId="0" fontId="3" fillId="33" borderId="0" xfId="57" applyFont="1" applyFill="1" applyAlignment="1" applyProtection="1">
      <alignment/>
      <protection locked="0"/>
    </xf>
    <xf numFmtId="2" fontId="3" fillId="33" borderId="0" xfId="57" applyNumberFormat="1" applyFont="1" applyFill="1" applyAlignment="1" applyProtection="1">
      <alignment/>
      <protection locked="0"/>
    </xf>
    <xf numFmtId="0" fontId="6" fillId="33" borderId="0" xfId="58" applyFont="1" applyFill="1" applyBorder="1" applyAlignment="1" applyProtection="1">
      <alignment horizontal="left" vertical="center" wrapText="1"/>
      <protection locked="0"/>
    </xf>
    <xf numFmtId="0" fontId="7" fillId="33" borderId="0" xfId="57" applyFont="1" applyFill="1" applyAlignment="1" applyProtection="1">
      <alignment/>
      <protection locked="0"/>
    </xf>
    <xf numFmtId="2" fontId="7" fillId="33" borderId="0" xfId="57" applyNumberFormat="1" applyFont="1" applyFill="1" applyAlignment="1" applyProtection="1">
      <alignment/>
      <protection locked="0"/>
    </xf>
    <xf numFmtId="0" fontId="7" fillId="33" borderId="0" xfId="57" applyFont="1" applyFill="1" applyAlignment="1" applyProtection="1">
      <alignment horizontal="left"/>
      <protection locked="0"/>
    </xf>
    <xf numFmtId="0" fontId="7" fillId="33" borderId="0" xfId="57" applyFont="1" applyFill="1" applyBorder="1" applyAlignment="1" applyProtection="1">
      <alignment/>
      <protection locked="0"/>
    </xf>
    <xf numFmtId="2" fontId="7" fillId="33" borderId="0" xfId="57" applyNumberFormat="1" applyFont="1" applyFill="1" applyBorder="1" applyAlignment="1" applyProtection="1">
      <alignment/>
      <protection locked="0"/>
    </xf>
    <xf numFmtId="0" fontId="3" fillId="33" borderId="0" xfId="57" applyFont="1" applyFill="1" applyBorder="1" applyProtection="1">
      <alignment/>
      <protection locked="0"/>
    </xf>
    <xf numFmtId="0" fontId="7" fillId="33" borderId="10" xfId="57" applyFont="1" applyFill="1" applyBorder="1" applyAlignment="1" applyProtection="1">
      <alignment horizontal="center" vertical="center"/>
      <protection hidden="1"/>
    </xf>
    <xf numFmtId="0" fontId="7" fillId="33" borderId="10" xfId="57" applyFont="1" applyFill="1" applyBorder="1" applyAlignment="1" applyProtection="1">
      <alignment horizontal="center" vertical="center" wrapText="1"/>
      <protection hidden="1"/>
    </xf>
    <xf numFmtId="2" fontId="7" fillId="33" borderId="10" xfId="57" applyNumberFormat="1" applyFont="1" applyFill="1" applyBorder="1" applyAlignment="1" applyProtection="1">
      <alignment horizontal="center" vertical="center" wrapText="1"/>
      <protection hidden="1"/>
    </xf>
    <xf numFmtId="0" fontId="3" fillId="33" borderId="0" xfId="57" applyFont="1" applyFill="1" applyAlignment="1" applyProtection="1">
      <alignment vertical="center"/>
      <protection locked="0"/>
    </xf>
    <xf numFmtId="0" fontId="9" fillId="33" borderId="11" xfId="57" applyFont="1" applyFill="1" applyBorder="1" applyAlignment="1" applyProtection="1">
      <alignment horizontal="center"/>
      <protection hidden="1"/>
    </xf>
    <xf numFmtId="2" fontId="9" fillId="33" borderId="11" xfId="57" applyNumberFormat="1" applyFont="1" applyFill="1" applyBorder="1" applyAlignment="1" applyProtection="1">
      <alignment horizontal="center"/>
      <protection hidden="1"/>
    </xf>
    <xf numFmtId="0" fontId="9" fillId="33" borderId="12" xfId="57" applyFont="1" applyFill="1" applyBorder="1" applyAlignment="1" applyProtection="1">
      <alignment horizontal="center"/>
      <protection hidden="1"/>
    </xf>
    <xf numFmtId="0" fontId="9" fillId="33" borderId="10" xfId="57" applyFont="1" applyFill="1" applyBorder="1" applyAlignment="1" applyProtection="1">
      <alignment horizontal="center"/>
      <protection hidden="1"/>
    </xf>
    <xf numFmtId="0" fontId="7" fillId="33" borderId="11" xfId="57" applyFont="1" applyFill="1" applyBorder="1" applyProtection="1">
      <alignment/>
      <protection hidden="1"/>
    </xf>
    <xf numFmtId="0" fontId="7" fillId="34" borderId="11" xfId="57" applyFont="1" applyFill="1" applyBorder="1" applyProtection="1">
      <alignment/>
      <protection hidden="1"/>
    </xf>
    <xf numFmtId="0" fontId="3" fillId="34" borderId="13" xfId="57" applyFont="1" applyFill="1" applyBorder="1" applyProtection="1">
      <alignment/>
      <protection hidden="1"/>
    </xf>
    <xf numFmtId="2" fontId="3" fillId="34" borderId="13" xfId="57" applyNumberFormat="1" applyFont="1" applyFill="1" applyBorder="1" applyProtection="1">
      <alignment/>
      <protection hidden="1"/>
    </xf>
    <xf numFmtId="0" fontId="3" fillId="34" borderId="10" xfId="57" applyFont="1" applyFill="1" applyBorder="1" applyProtection="1">
      <alignment/>
      <protection hidden="1"/>
    </xf>
    <xf numFmtId="0" fontId="3" fillId="34" borderId="12" xfId="57" applyFont="1" applyFill="1" applyBorder="1" applyProtection="1">
      <alignment/>
      <protection hidden="1"/>
    </xf>
    <xf numFmtId="0" fontId="3" fillId="33" borderId="11" xfId="57" applyFont="1" applyFill="1" applyBorder="1" applyProtection="1">
      <alignment/>
      <protection hidden="1"/>
    </xf>
    <xf numFmtId="4" fontId="7" fillId="33" borderId="14" xfId="58" applyNumberFormat="1" applyFont="1" applyFill="1" applyBorder="1" applyAlignment="1" applyProtection="1">
      <alignment horizontal="center"/>
      <protection locked="0"/>
    </xf>
    <xf numFmtId="3" fontId="3" fillId="33" borderId="13" xfId="58" applyNumberFormat="1" applyFont="1" applyFill="1" applyBorder="1" applyAlignment="1" applyProtection="1">
      <alignment horizontal="center"/>
      <protection locked="0"/>
    </xf>
    <xf numFmtId="3" fontId="3" fillId="33" borderId="10" xfId="58" applyNumberFormat="1" applyFont="1" applyFill="1" applyBorder="1" applyAlignment="1" applyProtection="1">
      <alignment horizontal="center"/>
      <protection locked="0"/>
    </xf>
    <xf numFmtId="3" fontId="3" fillId="33" borderId="12" xfId="58" applyNumberFormat="1" applyFont="1" applyFill="1" applyBorder="1" applyAlignment="1" applyProtection="1">
      <alignment horizontal="center"/>
      <protection locked="0"/>
    </xf>
    <xf numFmtId="0" fontId="3" fillId="33" borderId="15" xfId="57" applyFont="1" applyFill="1" applyBorder="1" applyProtection="1">
      <alignment/>
      <protection hidden="1"/>
    </xf>
    <xf numFmtId="0" fontId="7" fillId="33" borderId="14" xfId="57" applyFont="1" applyFill="1" applyBorder="1" applyProtection="1">
      <alignment/>
      <protection hidden="1"/>
    </xf>
    <xf numFmtId="4" fontId="7" fillId="33" borderId="14" xfId="57" applyNumberFormat="1" applyFont="1" applyFill="1" applyBorder="1" applyAlignment="1" applyProtection="1">
      <alignment horizontal="center"/>
      <protection hidden="1"/>
    </xf>
    <xf numFmtId="3" fontId="7" fillId="33" borderId="13" xfId="57" applyNumberFormat="1" applyFont="1" applyFill="1" applyBorder="1" applyAlignment="1" applyProtection="1">
      <alignment horizontal="center"/>
      <protection hidden="1"/>
    </xf>
    <xf numFmtId="3" fontId="7" fillId="33" borderId="10" xfId="57" applyNumberFormat="1" applyFont="1" applyFill="1" applyBorder="1" applyAlignment="1" applyProtection="1">
      <alignment horizontal="center"/>
      <protection hidden="1"/>
    </xf>
    <xf numFmtId="0" fontId="7" fillId="33" borderId="13" xfId="57" applyFont="1" applyFill="1" applyBorder="1" applyAlignment="1" applyProtection="1">
      <alignment horizontal="center"/>
      <protection hidden="1"/>
    </xf>
    <xf numFmtId="3" fontId="7" fillId="33" borderId="12" xfId="57" applyNumberFormat="1" applyFont="1" applyFill="1" applyBorder="1" applyAlignment="1" applyProtection="1">
      <alignment horizontal="center"/>
      <protection hidden="1"/>
    </xf>
    <xf numFmtId="0" fontId="7" fillId="33" borderId="10" xfId="57" applyFont="1" applyFill="1" applyBorder="1" applyProtection="1">
      <alignment/>
      <protection hidden="1"/>
    </xf>
    <xf numFmtId="0" fontId="7" fillId="34" borderId="10" xfId="57" applyFont="1" applyFill="1" applyBorder="1" applyProtection="1">
      <alignment/>
      <protection hidden="1"/>
    </xf>
    <xf numFmtId="3" fontId="3" fillId="34" borderId="14" xfId="57" applyNumberFormat="1" applyFont="1" applyFill="1" applyBorder="1" applyProtection="1">
      <alignment/>
      <protection hidden="1"/>
    </xf>
    <xf numFmtId="2" fontId="3" fillId="34" borderId="14" xfId="57" applyNumberFormat="1" applyFont="1" applyFill="1" applyBorder="1" applyProtection="1">
      <alignment/>
      <protection hidden="1"/>
    </xf>
    <xf numFmtId="3" fontId="3" fillId="34" borderId="16" xfId="57" applyNumberFormat="1" applyFont="1" applyFill="1" applyBorder="1" applyProtection="1">
      <alignment/>
      <protection hidden="1"/>
    </xf>
    <xf numFmtId="0" fontId="3" fillId="34" borderId="16" xfId="57" applyFont="1" applyFill="1" applyBorder="1" applyProtection="1">
      <alignment/>
      <protection hidden="1"/>
    </xf>
    <xf numFmtId="0" fontId="3" fillId="34" borderId="17" xfId="57" applyFont="1" applyFill="1" applyBorder="1" applyProtection="1">
      <alignment/>
      <protection hidden="1"/>
    </xf>
    <xf numFmtId="3" fontId="3" fillId="34" borderId="13" xfId="57" applyNumberFormat="1" applyFont="1" applyFill="1" applyBorder="1" applyAlignment="1" applyProtection="1">
      <alignment horizontal="center"/>
      <protection hidden="1"/>
    </xf>
    <xf numFmtId="3" fontId="3" fillId="34" borderId="10" xfId="57" applyNumberFormat="1" applyFont="1" applyFill="1" applyBorder="1" applyAlignment="1" applyProtection="1">
      <alignment horizontal="center"/>
      <protection hidden="1"/>
    </xf>
    <xf numFmtId="0" fontId="3" fillId="34" borderId="10" xfId="57" applyFont="1" applyFill="1" applyBorder="1" applyAlignment="1" applyProtection="1">
      <alignment horizontal="center"/>
      <protection hidden="1"/>
    </xf>
    <xf numFmtId="3" fontId="3" fillId="34" borderId="13" xfId="57" applyNumberFormat="1" applyFont="1" applyFill="1" applyBorder="1" applyAlignment="1" applyProtection="1">
      <alignment horizontal="right"/>
      <protection hidden="1"/>
    </xf>
    <xf numFmtId="3" fontId="3" fillId="34" borderId="10" xfId="58" applyNumberFormat="1" applyFont="1" applyFill="1" applyBorder="1" applyAlignment="1" applyProtection="1">
      <alignment/>
      <protection hidden="1"/>
    </xf>
    <xf numFmtId="3" fontId="3" fillId="35" borderId="10" xfId="58" applyNumberFormat="1" applyFont="1" applyFill="1" applyBorder="1" applyAlignment="1" applyProtection="1">
      <alignment horizontal="center"/>
      <protection locked="0"/>
    </xf>
    <xf numFmtId="0" fontId="3" fillId="34" borderId="12" xfId="57" applyFont="1" applyFill="1" applyBorder="1" applyAlignment="1" applyProtection="1">
      <alignment horizontal="center"/>
      <protection hidden="1"/>
    </xf>
    <xf numFmtId="3" fontId="3" fillId="34" borderId="13" xfId="57" applyNumberFormat="1" applyFont="1" applyFill="1" applyBorder="1" applyProtection="1">
      <alignment/>
      <protection hidden="1"/>
    </xf>
    <xf numFmtId="3" fontId="3" fillId="34" borderId="10" xfId="57" applyNumberFormat="1" applyFont="1" applyFill="1" applyBorder="1" applyProtection="1">
      <alignment/>
      <protection hidden="1"/>
    </xf>
    <xf numFmtId="0" fontId="7" fillId="33" borderId="13" xfId="57" applyFont="1" applyFill="1" applyBorder="1" applyProtection="1">
      <alignment/>
      <protection hidden="1"/>
    </xf>
    <xf numFmtId="3" fontId="7" fillId="34" borderId="10" xfId="57" applyNumberFormat="1" applyFont="1" applyFill="1" applyBorder="1" applyProtection="1">
      <alignment/>
      <protection hidden="1"/>
    </xf>
    <xf numFmtId="3" fontId="7" fillId="33" borderId="14" xfId="58" applyNumberFormat="1" applyFont="1" applyFill="1" applyBorder="1" applyAlignment="1" applyProtection="1">
      <alignment horizontal="center"/>
      <protection locked="0"/>
    </xf>
    <xf numFmtId="0" fontId="7" fillId="33" borderId="11" xfId="57" applyFont="1" applyFill="1" applyBorder="1" applyAlignment="1" applyProtection="1">
      <alignment horizontal="center"/>
      <protection hidden="1"/>
    </xf>
    <xf numFmtId="4" fontId="7" fillId="33" borderId="10" xfId="57" applyNumberFormat="1" applyFont="1" applyFill="1" applyBorder="1" applyAlignment="1" applyProtection="1">
      <alignment horizontal="center"/>
      <protection hidden="1"/>
    </xf>
    <xf numFmtId="0" fontId="7" fillId="34" borderId="13" xfId="57" applyFont="1" applyFill="1" applyBorder="1" applyAlignment="1" applyProtection="1">
      <alignment horizontal="center"/>
      <protection hidden="1"/>
    </xf>
    <xf numFmtId="0" fontId="7" fillId="34" borderId="10" xfId="57" applyFont="1" applyFill="1" applyBorder="1" applyAlignment="1" applyProtection="1">
      <alignment horizontal="center"/>
      <protection hidden="1"/>
    </xf>
    <xf numFmtId="0" fontId="7" fillId="34" borderId="12" xfId="57" applyFont="1" applyFill="1" applyBorder="1" applyAlignment="1" applyProtection="1">
      <alignment horizontal="center"/>
      <protection hidden="1"/>
    </xf>
    <xf numFmtId="3" fontId="7" fillId="34" borderId="13" xfId="57" applyNumberFormat="1" applyFont="1" applyFill="1" applyBorder="1" applyAlignment="1" applyProtection="1">
      <alignment horizontal="right"/>
      <protection hidden="1"/>
    </xf>
    <xf numFmtId="0" fontId="3" fillId="33" borderId="0" xfId="57" applyFont="1" applyFill="1" applyAlignment="1" applyProtection="1">
      <alignment wrapText="1"/>
      <protection hidden="1"/>
    </xf>
    <xf numFmtId="2" fontId="3" fillId="33" borderId="0" xfId="57" applyNumberFormat="1" applyFont="1" applyFill="1" applyAlignment="1" applyProtection="1">
      <alignment wrapText="1"/>
      <protection hidden="1"/>
    </xf>
    <xf numFmtId="0" fontId="7" fillId="33" borderId="0" xfId="57" applyFont="1" applyFill="1" applyProtection="1">
      <alignment/>
      <protection hidden="1"/>
    </xf>
    <xf numFmtId="0" fontId="2" fillId="33" borderId="0" xfId="57" applyFill="1" applyProtection="1">
      <alignment/>
      <protection hidden="1"/>
    </xf>
    <xf numFmtId="2" fontId="7" fillId="33" borderId="0" xfId="57" applyNumberFormat="1" applyFont="1" applyFill="1" applyProtection="1">
      <alignment/>
      <protection hidden="1"/>
    </xf>
    <xf numFmtId="2" fontId="2" fillId="33" borderId="0" xfId="57" applyNumberFormat="1" applyFill="1" applyProtection="1">
      <alignment/>
      <protection hidden="1"/>
    </xf>
    <xf numFmtId="0" fontId="10" fillId="33" borderId="0" xfId="57" applyFont="1" applyFill="1" applyAlignment="1" applyProtection="1">
      <alignment wrapText="1"/>
      <protection hidden="1"/>
    </xf>
    <xf numFmtId="0" fontId="11" fillId="33" borderId="0" xfId="57" applyFont="1" applyFill="1" applyProtection="1">
      <alignment/>
      <protection locked="0"/>
    </xf>
    <xf numFmtId="0" fontId="2" fillId="33" borderId="0" xfId="57" applyFill="1" applyProtection="1">
      <alignment/>
      <protection locked="0"/>
    </xf>
    <xf numFmtId="0" fontId="11" fillId="33" borderId="0" xfId="57" applyFont="1" applyFill="1" applyAlignment="1" applyProtection="1">
      <alignment/>
      <protection locked="0"/>
    </xf>
    <xf numFmtId="2" fontId="11" fillId="33" borderId="0" xfId="57" applyNumberFormat="1" applyFont="1" applyFill="1" applyAlignment="1" applyProtection="1">
      <alignment/>
      <protection locked="0"/>
    </xf>
    <xf numFmtId="0" fontId="11" fillId="33" borderId="0" xfId="57" applyFont="1" applyFill="1" applyAlignment="1" applyProtection="1">
      <alignment horizontal="left"/>
      <protection locked="0"/>
    </xf>
    <xf numFmtId="2" fontId="2" fillId="33" borderId="0" xfId="57" applyNumberFormat="1" applyFill="1" applyProtection="1">
      <alignment/>
      <protection locked="0"/>
    </xf>
    <xf numFmtId="0" fontId="10" fillId="33" borderId="0" xfId="57" applyFont="1" applyFill="1" applyAlignment="1" applyProtection="1">
      <alignment wrapText="1"/>
      <protection locked="0"/>
    </xf>
    <xf numFmtId="0" fontId="2" fillId="33" borderId="0" xfId="57" applyFill="1">
      <alignment/>
      <protection/>
    </xf>
    <xf numFmtId="0" fontId="2" fillId="33" borderId="18" xfId="57" applyFont="1" applyFill="1" applyBorder="1">
      <alignment/>
      <protection/>
    </xf>
    <xf numFmtId="10" fontId="2" fillId="33" borderId="18" xfId="57" applyNumberFormat="1" applyFill="1" applyBorder="1" applyAlignment="1">
      <alignment horizontal="center" vertical="center"/>
      <protection/>
    </xf>
    <xf numFmtId="2" fontId="2" fillId="33" borderId="18" xfId="57" applyNumberFormat="1" applyFill="1" applyBorder="1" applyAlignment="1">
      <alignment horizontal="center" vertical="center"/>
      <protection/>
    </xf>
    <xf numFmtId="0" fontId="12" fillId="33" borderId="0" xfId="58" applyFont="1" applyFill="1" applyBorder="1" applyProtection="1">
      <alignment/>
      <protection locked="0"/>
    </xf>
    <xf numFmtId="0" fontId="12" fillId="33" borderId="0" xfId="58" applyFont="1" applyFill="1" applyBorder="1" applyAlignment="1" applyProtection="1">
      <alignment wrapText="1"/>
      <protection locked="0"/>
    </xf>
    <xf numFmtId="0" fontId="12" fillId="33" borderId="0" xfId="58" applyFont="1" applyFill="1" applyBorder="1" applyAlignment="1" applyProtection="1">
      <alignment horizontal="center" wrapText="1"/>
      <protection locked="0"/>
    </xf>
    <xf numFmtId="170" fontId="12" fillId="33" borderId="0" xfId="44" applyFont="1" applyFill="1" applyBorder="1" applyAlignment="1" applyProtection="1">
      <alignment wrapText="1"/>
      <protection locked="0"/>
    </xf>
    <xf numFmtId="170" fontId="12" fillId="33" borderId="0" xfId="44" applyFont="1" applyFill="1" applyBorder="1" applyAlignment="1" applyProtection="1">
      <alignment/>
      <protection locked="0"/>
    </xf>
    <xf numFmtId="0" fontId="12" fillId="33" borderId="0" xfId="58" applyFont="1" applyFill="1" applyBorder="1" applyAlignment="1" applyProtection="1">
      <alignment vertical="center"/>
      <protection locked="0"/>
    </xf>
    <xf numFmtId="0" fontId="6" fillId="33" borderId="19" xfId="58" applyFont="1" applyFill="1" applyBorder="1" applyAlignment="1" applyProtection="1">
      <alignment vertical="center" wrapText="1"/>
      <protection hidden="1"/>
    </xf>
    <xf numFmtId="0" fontId="6" fillId="33" borderId="20" xfId="58" applyFont="1" applyFill="1" applyBorder="1" applyAlignment="1" applyProtection="1">
      <alignment vertical="center" wrapText="1"/>
      <protection hidden="1"/>
    </xf>
    <xf numFmtId="0" fontId="12" fillId="33" borderId="0" xfId="58" applyFont="1" applyFill="1" applyBorder="1" applyAlignment="1" applyProtection="1">
      <alignment vertical="center"/>
      <protection hidden="1"/>
    </xf>
    <xf numFmtId="0" fontId="12" fillId="33" borderId="18" xfId="58" applyFont="1" applyFill="1" applyBorder="1" applyAlignment="1" applyProtection="1">
      <alignment vertical="center" wrapText="1"/>
      <protection hidden="1"/>
    </xf>
    <xf numFmtId="0" fontId="12" fillId="33" borderId="0" xfId="58" applyFont="1" applyFill="1" applyBorder="1" applyAlignment="1" applyProtection="1">
      <alignment vertical="center" wrapText="1"/>
      <protection hidden="1"/>
    </xf>
    <xf numFmtId="0" fontId="12" fillId="33" borderId="0" xfId="58" applyFont="1" applyFill="1" applyBorder="1" applyAlignment="1" applyProtection="1">
      <alignment vertical="center" wrapText="1"/>
      <protection locked="0"/>
    </xf>
    <xf numFmtId="0" fontId="12" fillId="33" borderId="0" xfId="58" applyFont="1" applyFill="1" applyBorder="1" applyAlignment="1" applyProtection="1">
      <alignment horizontal="left" vertical="center"/>
      <protection hidden="1"/>
    </xf>
    <xf numFmtId="0" fontId="12" fillId="33" borderId="0" xfId="58" applyFont="1" applyFill="1" applyBorder="1" applyAlignment="1" applyProtection="1">
      <alignment horizontal="left" vertical="center"/>
      <protection locked="0"/>
    </xf>
    <xf numFmtId="0" fontId="6" fillId="33" borderId="0" xfId="58" applyFont="1" applyFill="1" applyBorder="1" applyProtection="1">
      <alignment/>
      <protection locked="0"/>
    </xf>
    <xf numFmtId="0" fontId="12" fillId="33" borderId="0" xfId="58" applyFont="1" applyFill="1" applyBorder="1" applyAlignment="1" applyProtection="1">
      <alignment horizontal="left" vertical="center" wrapText="1"/>
      <protection locked="0"/>
    </xf>
    <xf numFmtId="0" fontId="12" fillId="33" borderId="0" xfId="58" applyFont="1" applyFill="1" applyBorder="1" applyAlignment="1" applyProtection="1">
      <alignment horizontal="center" vertical="center" wrapText="1"/>
      <protection locked="0"/>
    </xf>
    <xf numFmtId="170" fontId="12" fillId="33" borderId="0" xfId="44" applyFont="1" applyFill="1" applyBorder="1" applyAlignment="1" applyProtection="1">
      <alignment horizontal="left" vertical="center" wrapText="1"/>
      <protection locked="0"/>
    </xf>
    <xf numFmtId="0" fontId="12" fillId="33" borderId="0" xfId="58" applyFont="1" applyFill="1" applyBorder="1" applyAlignment="1" applyProtection="1">
      <alignment horizontal="left" wrapText="1"/>
      <protection locked="0"/>
    </xf>
    <xf numFmtId="0" fontId="12" fillId="33" borderId="0" xfId="58" applyFont="1" applyFill="1" applyBorder="1" applyAlignment="1" applyProtection="1">
      <alignment horizontal="left"/>
      <protection locked="0"/>
    </xf>
    <xf numFmtId="170" fontId="12" fillId="33" borderId="0" xfId="44" applyFont="1" applyFill="1" applyBorder="1" applyAlignment="1" applyProtection="1">
      <alignment horizontal="left" wrapText="1"/>
      <protection locked="0"/>
    </xf>
    <xf numFmtId="170" fontId="12" fillId="33" borderId="0" xfId="44" applyFont="1" applyFill="1" applyBorder="1" applyAlignment="1" applyProtection="1">
      <alignment horizontal="left"/>
      <protection locked="0"/>
    </xf>
    <xf numFmtId="0" fontId="12" fillId="33" borderId="0" xfId="58" applyFont="1" applyFill="1" applyBorder="1" applyAlignment="1" applyProtection="1">
      <alignment/>
      <protection locked="0"/>
    </xf>
    <xf numFmtId="0" fontId="18" fillId="0" borderId="0" xfId="0" applyFont="1" applyAlignment="1" applyProtection="1">
      <alignment/>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left" vertical="center" indent="1"/>
      <protection locked="0"/>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Alignment="1" applyProtection="1">
      <alignment/>
      <protection/>
    </xf>
    <xf numFmtId="0" fontId="0" fillId="0" borderId="0" xfId="0" applyAlignment="1" applyProtection="1">
      <alignment horizontal="left"/>
      <protection/>
    </xf>
    <xf numFmtId="0" fontId="18" fillId="0" borderId="0" xfId="0" applyFont="1" applyAlignment="1" applyProtection="1">
      <alignment/>
      <protection/>
    </xf>
    <xf numFmtId="0" fontId="18" fillId="0" borderId="0" xfId="0" applyFont="1" applyAlignment="1" applyProtection="1">
      <alignment horizontal="left" vertical="center" indent="1"/>
      <protection/>
    </xf>
    <xf numFmtId="0" fontId="0" fillId="0" borderId="0" xfId="0" applyFill="1" applyAlignment="1" applyProtection="1">
      <alignment/>
      <protection/>
    </xf>
    <xf numFmtId="0" fontId="22" fillId="0" borderId="10" xfId="0" applyFont="1" applyBorder="1" applyAlignment="1" applyProtection="1">
      <alignment horizontal="center" vertical="center"/>
      <protection locked="0"/>
    </xf>
    <xf numFmtId="0" fontId="18" fillId="0" borderId="0" xfId="0" applyFont="1" applyFill="1" applyAlignment="1" applyProtection="1">
      <alignment horizontal="left" vertical="center" indent="1"/>
      <protection/>
    </xf>
    <xf numFmtId="14" fontId="0" fillId="36" borderId="0" xfId="0" applyNumberFormat="1" applyFill="1" applyAlignment="1" applyProtection="1">
      <alignment horizontal="left"/>
      <protection/>
    </xf>
    <xf numFmtId="0" fontId="18" fillId="0" borderId="0" xfId="0" applyFont="1" applyAlignment="1" applyProtection="1">
      <alignment vertical="center"/>
      <protection/>
    </xf>
    <xf numFmtId="0" fontId="0" fillId="36" borderId="0" xfId="0" applyFill="1" applyAlignment="1" applyProtection="1">
      <alignment horizontal="left"/>
      <protection/>
    </xf>
    <xf numFmtId="0" fontId="21" fillId="0" borderId="0" xfId="0" applyFont="1" applyAlignment="1" applyProtection="1">
      <alignment horizontal="center" vertical="center"/>
      <protection locked="0"/>
    </xf>
    <xf numFmtId="0" fontId="18" fillId="0" borderId="0" xfId="0" applyFont="1" applyAlignment="1" applyProtection="1">
      <alignment horizontal="left"/>
      <protection/>
    </xf>
    <xf numFmtId="0" fontId="21" fillId="0" borderId="0" xfId="0" applyFont="1" applyBorder="1" applyAlignment="1" applyProtection="1">
      <alignment horizontal="center" vertical="center"/>
      <protection locked="0"/>
    </xf>
    <xf numFmtId="0" fontId="18" fillId="0" borderId="21" xfId="0" applyFont="1" applyBorder="1" applyAlignment="1" applyProtection="1">
      <alignment horizontal="left" vertical="center" indent="1"/>
      <protection locked="0"/>
    </xf>
    <xf numFmtId="0" fontId="12" fillId="33" borderId="0" xfId="58" applyFont="1" applyFill="1" applyBorder="1" applyAlignment="1" applyProtection="1">
      <alignment horizontal="center" vertical="center"/>
      <protection locked="0"/>
    </xf>
    <xf numFmtId="173" fontId="3" fillId="33" borderId="0" xfId="44" applyNumberFormat="1" applyFont="1" applyFill="1" applyBorder="1" applyAlignment="1" applyProtection="1">
      <alignment horizontal="center" vertical="center" wrapText="1"/>
      <protection locked="0"/>
    </xf>
    <xf numFmtId="2" fontId="3" fillId="33" borderId="0" xfId="58" applyNumberFormat="1" applyFont="1" applyFill="1" applyBorder="1" applyAlignment="1" applyProtection="1">
      <alignment vertical="center" wrapText="1"/>
      <protection locked="0"/>
    </xf>
    <xf numFmtId="0" fontId="6" fillId="33" borderId="0" xfId="58" applyFont="1" applyFill="1" applyBorder="1" applyAlignment="1" applyProtection="1">
      <alignment vertical="center"/>
      <protection/>
    </xf>
    <xf numFmtId="0" fontId="6" fillId="33" borderId="0" xfId="58" applyFont="1" applyFill="1" applyBorder="1" applyAlignment="1" applyProtection="1">
      <alignment vertical="center" wrapText="1"/>
      <protection/>
    </xf>
    <xf numFmtId="0" fontId="12" fillId="33" borderId="0" xfId="58" applyFont="1" applyFill="1" applyBorder="1" applyAlignment="1" applyProtection="1">
      <alignment vertical="center" wrapText="1"/>
      <protection/>
    </xf>
    <xf numFmtId="0" fontId="12" fillId="33" borderId="0" xfId="58" applyFont="1" applyFill="1" applyBorder="1" applyAlignment="1" applyProtection="1">
      <alignment vertical="center"/>
      <protection/>
    </xf>
    <xf numFmtId="173" fontId="23" fillId="33" borderId="0" xfId="44" applyNumberFormat="1" applyFont="1" applyFill="1" applyBorder="1" applyAlignment="1" applyProtection="1">
      <alignment vertical="center" wrapText="1"/>
      <protection/>
    </xf>
    <xf numFmtId="173" fontId="23" fillId="33" borderId="0" xfId="44" applyNumberFormat="1" applyFont="1" applyFill="1" applyBorder="1" applyAlignment="1" applyProtection="1">
      <alignment horizontal="center" vertical="center"/>
      <protection/>
    </xf>
    <xf numFmtId="173" fontId="11" fillId="33" borderId="0" xfId="44" applyNumberFormat="1" applyFont="1" applyFill="1" applyBorder="1" applyAlignment="1" applyProtection="1">
      <alignment vertical="center" wrapText="1"/>
      <protection/>
    </xf>
    <xf numFmtId="0" fontId="24" fillId="33" borderId="0" xfId="58" applyFont="1" applyFill="1" applyBorder="1" applyAlignment="1" applyProtection="1">
      <alignment vertical="center"/>
      <protection/>
    </xf>
    <xf numFmtId="0" fontId="25" fillId="33" borderId="0" xfId="58" applyFont="1" applyFill="1" applyBorder="1" applyAlignment="1" applyProtection="1">
      <alignment vertical="center" wrapText="1"/>
      <protection/>
    </xf>
    <xf numFmtId="0" fontId="25" fillId="33" borderId="0" xfId="58" applyFont="1" applyFill="1" applyBorder="1" applyAlignment="1" applyProtection="1">
      <alignment horizontal="center" vertical="center"/>
      <protection/>
    </xf>
    <xf numFmtId="0" fontId="24" fillId="33" borderId="0" xfId="58" applyFont="1" applyFill="1" applyBorder="1" applyAlignment="1" applyProtection="1">
      <alignment vertical="center" wrapText="1"/>
      <protection/>
    </xf>
    <xf numFmtId="0" fontId="19" fillId="33" borderId="0" xfId="58" applyFont="1" applyFill="1" applyBorder="1" applyAlignment="1" applyProtection="1">
      <alignment vertical="center"/>
      <protection/>
    </xf>
    <xf numFmtId="0" fontId="19" fillId="33" borderId="0" xfId="58" applyFont="1" applyFill="1" applyBorder="1" applyAlignment="1" applyProtection="1">
      <alignment vertical="center" wrapText="1"/>
      <protection/>
    </xf>
    <xf numFmtId="0" fontId="6" fillId="33" borderId="0" xfId="58" applyFont="1" applyFill="1" applyBorder="1" applyAlignment="1" applyProtection="1">
      <alignment horizontal="center" vertical="center"/>
      <protection locked="0"/>
    </xf>
    <xf numFmtId="0" fontId="6" fillId="33" borderId="0" xfId="58" applyFont="1" applyFill="1" applyBorder="1" applyAlignment="1" applyProtection="1">
      <alignment horizontal="center" vertical="center" wrapText="1"/>
      <protection locked="0"/>
    </xf>
    <xf numFmtId="173" fontId="7" fillId="33" borderId="0" xfId="44" applyNumberFormat="1" applyFont="1" applyFill="1" applyBorder="1" applyAlignment="1" applyProtection="1">
      <alignment horizontal="center" vertical="center" wrapText="1"/>
      <protection locked="0"/>
    </xf>
    <xf numFmtId="2" fontId="7" fillId="33" borderId="0" xfId="58" applyNumberFormat="1" applyFont="1" applyFill="1" applyBorder="1" applyAlignment="1" applyProtection="1">
      <alignment horizontal="center" vertical="center" wrapText="1"/>
      <protection locked="0"/>
    </xf>
    <xf numFmtId="0" fontId="6" fillId="33" borderId="0" xfId="58" applyFont="1" applyFill="1" applyBorder="1" applyAlignment="1" applyProtection="1">
      <alignment vertical="center"/>
      <protection locked="0"/>
    </xf>
    <xf numFmtId="0" fontId="6" fillId="33" borderId="0" xfId="58" applyFont="1" applyFill="1" applyBorder="1" applyAlignment="1" applyProtection="1">
      <alignment vertical="center" wrapText="1"/>
      <protection locked="0"/>
    </xf>
    <xf numFmtId="2" fontId="7" fillId="33" borderId="0" xfId="58" applyNumberFormat="1" applyFont="1" applyFill="1" applyBorder="1" applyAlignment="1" applyProtection="1">
      <alignment vertical="center" wrapText="1"/>
      <protection locked="0"/>
    </xf>
    <xf numFmtId="0" fontId="6" fillId="33" borderId="0" xfId="58" applyFont="1" applyFill="1" applyBorder="1" applyAlignment="1" applyProtection="1">
      <alignment horizontal="left" vertical="center"/>
      <protection locked="0"/>
    </xf>
    <xf numFmtId="0" fontId="6" fillId="33" borderId="19" xfId="58" applyFont="1" applyFill="1" applyBorder="1" applyAlignment="1" applyProtection="1">
      <alignment vertical="center"/>
      <protection/>
    </xf>
    <xf numFmtId="0" fontId="6" fillId="33" borderId="18" xfId="58" applyFont="1" applyFill="1" applyBorder="1" applyAlignment="1" applyProtection="1">
      <alignment horizontal="center" vertical="center" wrapText="1"/>
      <protection/>
    </xf>
    <xf numFmtId="0" fontId="6" fillId="33" borderId="20" xfId="58" applyFont="1" applyFill="1" applyBorder="1" applyAlignment="1" applyProtection="1">
      <alignment vertical="center"/>
      <protection/>
    </xf>
    <xf numFmtId="0" fontId="16" fillId="33" borderId="22" xfId="58" applyFont="1" applyFill="1" applyBorder="1" applyAlignment="1" applyProtection="1">
      <alignment vertical="center"/>
      <protection/>
    </xf>
    <xf numFmtId="0" fontId="16" fillId="33" borderId="23" xfId="58" applyFont="1" applyFill="1" applyBorder="1" applyAlignment="1" applyProtection="1">
      <alignment vertical="center" wrapText="1"/>
      <protection/>
    </xf>
    <xf numFmtId="0" fontId="12" fillId="33" borderId="23" xfId="58" applyFont="1" applyFill="1" applyBorder="1" applyAlignment="1" applyProtection="1">
      <alignment vertical="center" wrapText="1"/>
      <protection locked="0"/>
    </xf>
    <xf numFmtId="0" fontId="16" fillId="33" borderId="24" xfId="58" applyFont="1" applyFill="1" applyBorder="1" applyAlignment="1" applyProtection="1">
      <alignment vertical="center" wrapText="1"/>
      <protection/>
    </xf>
    <xf numFmtId="0" fontId="6" fillId="33" borderId="22" xfId="58" applyFont="1" applyFill="1" applyBorder="1" applyAlignment="1" applyProtection="1">
      <alignment vertical="center"/>
      <protection/>
    </xf>
    <xf numFmtId="0" fontId="6" fillId="33" borderId="23" xfId="58" applyFont="1" applyFill="1" applyBorder="1" applyAlignment="1" applyProtection="1">
      <alignment vertical="center" wrapText="1"/>
      <protection/>
    </xf>
    <xf numFmtId="0" fontId="6" fillId="33" borderId="24" xfId="58" applyFont="1" applyFill="1" applyBorder="1" applyAlignment="1" applyProtection="1">
      <alignment vertical="center" wrapText="1"/>
      <protection/>
    </xf>
    <xf numFmtId="0" fontId="12" fillId="33" borderId="18" xfId="58" applyFont="1" applyFill="1" applyBorder="1" applyAlignment="1" applyProtection="1">
      <alignment horizontal="center" vertical="center"/>
      <protection/>
    </xf>
    <xf numFmtId="0" fontId="12" fillId="33" borderId="18" xfId="58" applyFont="1" applyFill="1" applyBorder="1" applyAlignment="1" applyProtection="1">
      <alignment vertical="center" wrapText="1"/>
      <protection/>
    </xf>
    <xf numFmtId="10" fontId="3" fillId="33" borderId="18" xfId="63" applyNumberFormat="1" applyFont="1" applyFill="1" applyBorder="1" applyAlignment="1" applyProtection="1">
      <alignment horizontal="center" vertical="center" wrapText="1"/>
      <protection/>
    </xf>
    <xf numFmtId="2" fontId="3" fillId="33" borderId="18" xfId="58" applyNumberFormat="1" applyFont="1" applyFill="1" applyBorder="1" applyAlignment="1" applyProtection="1">
      <alignment horizontal="center" vertical="center" wrapText="1"/>
      <protection hidden="1"/>
    </xf>
    <xf numFmtId="0" fontId="12" fillId="33" borderId="18" xfId="58" applyFont="1" applyFill="1" applyBorder="1" applyAlignment="1" applyProtection="1">
      <alignment vertical="center" wrapText="1"/>
      <protection locked="0"/>
    </xf>
    <xf numFmtId="0" fontId="12" fillId="33" borderId="22" xfId="58" applyFont="1" applyFill="1" applyBorder="1" applyAlignment="1" applyProtection="1">
      <alignment horizontal="center" vertical="center"/>
      <protection/>
    </xf>
    <xf numFmtId="0" fontId="12" fillId="33" borderId="24" xfId="58" applyFont="1" applyFill="1" applyBorder="1" applyAlignment="1" applyProtection="1">
      <alignment vertical="center" wrapText="1"/>
      <protection/>
    </xf>
    <xf numFmtId="173" fontId="3" fillId="33" borderId="18" xfId="44" applyNumberFormat="1" applyFont="1" applyFill="1" applyBorder="1" applyAlignment="1" applyProtection="1">
      <alignment horizontal="center" vertical="center" wrapText="1"/>
      <protection locked="0"/>
    </xf>
    <xf numFmtId="2" fontId="3" fillId="37" borderId="18" xfId="58" applyNumberFormat="1" applyFont="1" applyFill="1" applyBorder="1" applyAlignment="1" applyProtection="1">
      <alignment horizontal="center" vertical="center" wrapText="1"/>
      <protection hidden="1"/>
    </xf>
    <xf numFmtId="173" fontId="3" fillId="33" borderId="18" xfId="44" applyNumberFormat="1" applyFont="1" applyFill="1" applyBorder="1" applyAlignment="1" applyProtection="1">
      <alignment horizontal="center" vertical="center" wrapText="1"/>
      <protection/>
    </xf>
    <xf numFmtId="0" fontId="12" fillId="33" borderId="18" xfId="58" applyFont="1" applyFill="1" applyBorder="1" applyAlignment="1" applyProtection="1">
      <alignment horizontal="justify" vertical="center" wrapText="1"/>
      <protection/>
    </xf>
    <xf numFmtId="170" fontId="3" fillId="33" borderId="18" xfId="44" applyNumberFormat="1" applyFont="1" applyFill="1" applyBorder="1" applyAlignment="1" applyProtection="1">
      <alignment horizontal="center" vertical="center" wrapText="1"/>
      <protection/>
    </xf>
    <xf numFmtId="0" fontId="12" fillId="33" borderId="18" xfId="58" applyFont="1" applyFill="1" applyBorder="1" applyAlignment="1" applyProtection="1">
      <alignment horizontal="left" vertical="center" wrapText="1"/>
      <protection locked="0"/>
    </xf>
    <xf numFmtId="0" fontId="12" fillId="33" borderId="18" xfId="58" applyFont="1" applyFill="1" applyBorder="1" applyAlignment="1" applyProtection="1">
      <alignment horizontal="justify" vertical="center" wrapText="1"/>
      <protection locked="0"/>
    </xf>
    <xf numFmtId="0" fontId="12" fillId="33" borderId="18" xfId="58" applyFont="1" applyFill="1" applyBorder="1" applyAlignment="1" applyProtection="1">
      <alignment vertical="center"/>
      <protection/>
    </xf>
    <xf numFmtId="0" fontId="12" fillId="33" borderId="22" xfId="58" applyFont="1" applyFill="1" applyBorder="1" applyAlignment="1" applyProtection="1">
      <alignment vertical="center"/>
      <protection/>
    </xf>
    <xf numFmtId="2" fontId="7" fillId="37" borderId="18" xfId="58" applyNumberFormat="1" applyFont="1" applyFill="1" applyBorder="1" applyAlignment="1" applyProtection="1">
      <alignment horizontal="center" vertical="center" wrapText="1"/>
      <protection hidden="1"/>
    </xf>
    <xf numFmtId="0" fontId="12" fillId="33" borderId="22" xfId="58" applyFont="1" applyFill="1" applyBorder="1" applyAlignment="1" applyProtection="1">
      <alignment vertical="center" wrapText="1"/>
      <protection locked="0"/>
    </xf>
    <xf numFmtId="0" fontId="12" fillId="33" borderId="23" xfId="58" applyFont="1" applyFill="1" applyBorder="1" applyAlignment="1" applyProtection="1">
      <alignment vertical="center" wrapText="1"/>
      <protection/>
    </xf>
    <xf numFmtId="2" fontId="3" fillId="38" borderId="18" xfId="58" applyNumberFormat="1" applyFont="1" applyFill="1" applyBorder="1" applyAlignment="1" applyProtection="1">
      <alignment horizontal="center" vertical="center" wrapText="1"/>
      <protection hidden="1"/>
    </xf>
    <xf numFmtId="0" fontId="16" fillId="33" borderId="18" xfId="58" applyFont="1" applyFill="1" applyBorder="1" applyAlignment="1" applyProtection="1">
      <alignment horizontal="left" vertical="center" wrapText="1"/>
      <protection locked="0"/>
    </xf>
    <xf numFmtId="0" fontId="12" fillId="33" borderId="18" xfId="58" applyFont="1" applyFill="1" applyBorder="1" applyAlignment="1" applyProtection="1">
      <alignment horizontal="left" vertical="center"/>
      <protection/>
    </xf>
    <xf numFmtId="0" fontId="12" fillId="33" borderId="18" xfId="58" applyFont="1" applyFill="1" applyBorder="1" applyAlignment="1" applyProtection="1">
      <alignment horizontal="left" vertical="center" wrapText="1"/>
      <protection/>
    </xf>
    <xf numFmtId="0" fontId="12" fillId="33" borderId="22" xfId="58" applyFont="1" applyFill="1" applyBorder="1" applyAlignment="1" applyProtection="1">
      <alignment horizontal="left" vertical="center"/>
      <protection/>
    </xf>
    <xf numFmtId="0" fontId="12" fillId="33" borderId="24" xfId="58" applyFont="1" applyFill="1" applyBorder="1" applyAlignment="1" applyProtection="1">
      <alignment horizontal="left" vertical="center" wrapText="1"/>
      <protection/>
    </xf>
    <xf numFmtId="0" fontId="16" fillId="33" borderId="18" xfId="58" applyFont="1" applyFill="1" applyBorder="1" applyAlignment="1" applyProtection="1">
      <alignment horizontal="left" vertical="center" wrapText="1"/>
      <protection/>
    </xf>
    <xf numFmtId="14" fontId="3" fillId="33" borderId="18" xfId="58" applyNumberFormat="1" applyFont="1" applyFill="1" applyBorder="1" applyAlignment="1" applyProtection="1">
      <alignment horizontal="center" vertical="center" wrapText="1"/>
      <protection/>
    </xf>
    <xf numFmtId="0" fontId="12" fillId="33" borderId="18" xfId="58" applyFont="1" applyFill="1" applyBorder="1" applyAlignment="1" applyProtection="1">
      <alignment horizontal="center" vertical="center" wrapText="1"/>
      <protection locked="0"/>
    </xf>
    <xf numFmtId="171" fontId="6" fillId="33" borderId="22" xfId="47" applyFont="1" applyFill="1" applyBorder="1" applyAlignment="1" applyProtection="1">
      <alignment vertical="center"/>
      <protection/>
    </xf>
    <xf numFmtId="171" fontId="6" fillId="33" borderId="23" xfId="47" applyFont="1" applyFill="1" applyBorder="1" applyAlignment="1" applyProtection="1">
      <alignment vertical="center" wrapText="1"/>
      <protection/>
    </xf>
    <xf numFmtId="171" fontId="12" fillId="33" borderId="23" xfId="47" applyFont="1" applyFill="1" applyBorder="1" applyAlignment="1" applyProtection="1">
      <alignment vertical="center" wrapText="1"/>
      <protection locked="0"/>
    </xf>
    <xf numFmtId="171" fontId="6" fillId="33" borderId="24" xfId="47" applyFont="1" applyFill="1" applyBorder="1" applyAlignment="1" applyProtection="1">
      <alignment vertical="center" wrapText="1"/>
      <protection/>
    </xf>
    <xf numFmtId="2" fontId="27" fillId="39" borderId="18" xfId="58" applyNumberFormat="1" applyFont="1" applyFill="1" applyBorder="1" applyAlignment="1" applyProtection="1">
      <alignment horizontal="center" vertical="center" wrapText="1"/>
      <protection hidden="1"/>
    </xf>
    <xf numFmtId="0" fontId="6" fillId="33" borderId="0" xfId="58" applyFont="1" applyFill="1" applyBorder="1" applyAlignment="1" applyProtection="1">
      <alignment horizontal="right" vertical="center"/>
      <protection hidden="1"/>
    </xf>
    <xf numFmtId="0" fontId="6" fillId="33" borderId="0" xfId="58" applyFont="1" applyFill="1" applyBorder="1" applyAlignment="1" applyProtection="1">
      <alignment horizontal="right" vertical="center" wrapText="1"/>
      <protection hidden="1"/>
    </xf>
    <xf numFmtId="173" fontId="7" fillId="33" borderId="0" xfId="44" applyNumberFormat="1" applyFont="1" applyFill="1" applyBorder="1" applyAlignment="1" applyProtection="1">
      <alignment horizontal="center" vertical="center" wrapText="1"/>
      <protection hidden="1" locked="0"/>
    </xf>
    <xf numFmtId="2" fontId="7" fillId="33" borderId="0" xfId="58" applyNumberFormat="1" applyFont="1" applyFill="1" applyBorder="1" applyAlignment="1" applyProtection="1">
      <alignment horizontal="center" vertical="center" wrapText="1"/>
      <protection hidden="1"/>
    </xf>
    <xf numFmtId="0" fontId="17" fillId="33" borderId="0" xfId="58" applyFont="1" applyFill="1" applyBorder="1" applyAlignment="1" applyProtection="1">
      <alignment horizontal="left" vertical="center" wrapText="1"/>
      <protection hidden="1"/>
    </xf>
    <xf numFmtId="0" fontId="17" fillId="33" borderId="0" xfId="58" applyFont="1" applyFill="1" applyBorder="1" applyAlignment="1" applyProtection="1">
      <alignment vertical="center"/>
      <protection hidden="1"/>
    </xf>
    <xf numFmtId="0" fontId="17" fillId="33" borderId="0" xfId="58" applyFont="1" applyFill="1" applyBorder="1" applyAlignment="1" applyProtection="1">
      <alignment horizontal="left" vertical="center"/>
      <protection hidden="1"/>
    </xf>
    <xf numFmtId="173" fontId="28" fillId="33" borderId="0" xfId="44" applyNumberFormat="1" applyFont="1" applyFill="1" applyBorder="1" applyAlignment="1" applyProtection="1">
      <alignment horizontal="center" vertical="center" wrapText="1"/>
      <protection hidden="1"/>
    </xf>
    <xf numFmtId="2" fontId="28" fillId="33" borderId="0" xfId="58" applyNumberFormat="1" applyFont="1" applyFill="1" applyBorder="1" applyAlignment="1" applyProtection="1">
      <alignment horizontal="left" vertical="center" wrapText="1"/>
      <protection hidden="1"/>
    </xf>
    <xf numFmtId="0" fontId="12" fillId="33" borderId="0" xfId="58" applyFont="1" applyFill="1" applyBorder="1" applyAlignment="1" applyProtection="1">
      <alignment horizontal="left" vertical="center" wrapText="1"/>
      <protection hidden="1"/>
    </xf>
    <xf numFmtId="0" fontId="17" fillId="33" borderId="0" xfId="58" applyFont="1" applyFill="1" applyBorder="1" applyAlignment="1" applyProtection="1">
      <alignment vertical="center" wrapText="1"/>
      <protection hidden="1"/>
    </xf>
    <xf numFmtId="173" fontId="3" fillId="33" borderId="0" xfId="44" applyNumberFormat="1" applyFont="1" applyFill="1" applyBorder="1" applyAlignment="1" applyProtection="1">
      <alignment horizontal="center" vertical="center" wrapText="1"/>
      <protection hidden="1"/>
    </xf>
    <xf numFmtId="2" fontId="3" fillId="33" borderId="0" xfId="58" applyNumberFormat="1" applyFont="1" applyFill="1" applyBorder="1" applyAlignment="1" applyProtection="1">
      <alignment horizontal="left" vertical="center" wrapText="1"/>
      <protection hidden="1"/>
    </xf>
    <xf numFmtId="0" fontId="6" fillId="33" borderId="0" xfId="58" applyFont="1" applyFill="1" applyBorder="1" applyAlignment="1" applyProtection="1">
      <alignment vertical="center" wrapText="1"/>
      <protection hidden="1"/>
    </xf>
    <xf numFmtId="173" fontId="7" fillId="33" borderId="0" xfId="44" applyNumberFormat="1" applyFont="1" applyFill="1" applyBorder="1" applyAlignment="1" applyProtection="1">
      <alignment horizontal="center" vertical="center" wrapText="1"/>
      <protection hidden="1"/>
    </xf>
    <xf numFmtId="2" fontId="3" fillId="33" borderId="0" xfId="58" applyNumberFormat="1" applyFont="1" applyFill="1" applyBorder="1" applyAlignment="1" applyProtection="1">
      <alignment vertical="center" wrapText="1"/>
      <protection hidden="1"/>
    </xf>
    <xf numFmtId="173" fontId="7" fillId="33" borderId="19" xfId="44" applyNumberFormat="1" applyFont="1" applyFill="1" applyBorder="1" applyAlignment="1" applyProtection="1">
      <alignment vertical="center" wrapText="1"/>
      <protection hidden="1"/>
    </xf>
    <xf numFmtId="2" fontId="7" fillId="33" borderId="19" xfId="58" applyNumberFormat="1" applyFont="1" applyFill="1" applyBorder="1" applyAlignment="1" applyProtection="1">
      <alignment vertical="center" wrapText="1"/>
      <protection hidden="1"/>
    </xf>
    <xf numFmtId="173" fontId="7" fillId="33" borderId="20" xfId="44" applyNumberFormat="1" applyFont="1" applyFill="1" applyBorder="1" applyAlignment="1" applyProtection="1">
      <alignment vertical="center" wrapText="1"/>
      <protection hidden="1"/>
    </xf>
    <xf numFmtId="2" fontId="7" fillId="33" borderId="20" xfId="58" applyNumberFormat="1" applyFont="1" applyFill="1" applyBorder="1" applyAlignment="1" applyProtection="1">
      <alignment vertical="center" wrapText="1"/>
      <protection hidden="1"/>
    </xf>
    <xf numFmtId="173" fontId="3" fillId="33" borderId="18" xfId="44" applyNumberFormat="1" applyFont="1" applyFill="1" applyBorder="1" applyAlignment="1" applyProtection="1">
      <alignment horizontal="center" vertical="center" wrapText="1"/>
      <protection hidden="1"/>
    </xf>
    <xf numFmtId="2" fontId="3" fillId="33" borderId="18" xfId="58" applyNumberFormat="1" applyFont="1" applyFill="1" applyBorder="1" applyAlignment="1" applyProtection="1">
      <alignment vertical="center" wrapText="1"/>
      <protection hidden="1"/>
    </xf>
    <xf numFmtId="0" fontId="6" fillId="33" borderId="18" xfId="58" applyFont="1" applyFill="1" applyBorder="1" applyAlignment="1" applyProtection="1">
      <alignment horizontal="right" vertical="center" wrapText="1"/>
      <protection hidden="1"/>
    </xf>
    <xf numFmtId="173" fontId="7" fillId="33" borderId="18" xfId="44" applyNumberFormat="1" applyFont="1" applyFill="1" applyBorder="1" applyAlignment="1" applyProtection="1">
      <alignment horizontal="center" vertical="center" wrapText="1"/>
      <protection hidden="1"/>
    </xf>
    <xf numFmtId="2" fontId="7" fillId="33" borderId="18" xfId="58" applyNumberFormat="1" applyFont="1" applyFill="1" applyBorder="1" applyAlignment="1" applyProtection="1">
      <alignment vertical="center" wrapText="1"/>
      <protection hidden="1"/>
    </xf>
    <xf numFmtId="0" fontId="12" fillId="33" borderId="0" xfId="58" applyFont="1" applyFill="1" applyBorder="1" applyAlignment="1" applyProtection="1">
      <alignment horizontal="center" vertical="center"/>
      <protection hidden="1"/>
    </xf>
    <xf numFmtId="0" fontId="0" fillId="33" borderId="0" xfId="59" applyFill="1">
      <alignment/>
      <protection/>
    </xf>
    <xf numFmtId="0" fontId="29" fillId="33" borderId="0" xfId="59" applyFont="1" applyFill="1" applyAlignment="1">
      <alignment horizontal="center"/>
      <protection/>
    </xf>
    <xf numFmtId="0" fontId="30" fillId="33" borderId="0" xfId="59" applyFont="1" applyFill="1">
      <alignment/>
      <protection/>
    </xf>
    <xf numFmtId="0" fontId="29" fillId="33" borderId="13" xfId="59" applyFont="1" applyFill="1" applyBorder="1">
      <alignment/>
      <protection/>
    </xf>
    <xf numFmtId="0" fontId="29" fillId="33" borderId="10" xfId="59" applyFont="1" applyFill="1" applyBorder="1">
      <alignment/>
      <protection/>
    </xf>
    <xf numFmtId="0" fontId="29" fillId="33" borderId="25" xfId="59" applyFont="1" applyFill="1" applyBorder="1">
      <alignment/>
      <protection/>
    </xf>
    <xf numFmtId="0" fontId="29" fillId="33" borderId="26" xfId="59" applyFont="1" applyFill="1" applyBorder="1">
      <alignment/>
      <protection/>
    </xf>
    <xf numFmtId="0" fontId="19" fillId="0" borderId="0" xfId="0" applyFont="1" applyAlignment="1" applyProtection="1">
      <alignment horizontal="center" vertical="center"/>
      <protection/>
    </xf>
    <xf numFmtId="0" fontId="13" fillId="33" borderId="0" xfId="58" applyFont="1" applyFill="1" applyBorder="1" applyAlignment="1" applyProtection="1">
      <alignment wrapText="1"/>
      <protection/>
    </xf>
    <xf numFmtId="0" fontId="13" fillId="33" borderId="0" xfId="58" applyFont="1" applyFill="1" applyBorder="1" applyAlignment="1" applyProtection="1">
      <alignment/>
      <protection/>
    </xf>
    <xf numFmtId="0" fontId="13" fillId="33" borderId="0" xfId="58" applyFont="1" applyFill="1" applyBorder="1" applyAlignment="1" applyProtection="1">
      <alignment horizontal="center" wrapText="1"/>
      <protection/>
    </xf>
    <xf numFmtId="0" fontId="12" fillId="33" borderId="0" xfId="58" applyFont="1" applyFill="1" applyBorder="1" applyProtection="1">
      <alignment/>
      <protection/>
    </xf>
    <xf numFmtId="0" fontId="14" fillId="33" borderId="0" xfId="58" applyFont="1" applyFill="1" applyBorder="1" applyAlignment="1" applyProtection="1">
      <alignment wrapText="1"/>
      <protection/>
    </xf>
    <xf numFmtId="0" fontId="14" fillId="33" borderId="0" xfId="58" applyFont="1" applyFill="1" applyBorder="1" applyAlignment="1" applyProtection="1">
      <alignment/>
      <protection/>
    </xf>
    <xf numFmtId="0" fontId="14" fillId="33" borderId="0" xfId="58" applyFont="1" applyFill="1" applyBorder="1" applyAlignment="1" applyProtection="1">
      <alignment horizontal="center" wrapText="1"/>
      <protection/>
    </xf>
    <xf numFmtId="172" fontId="15" fillId="33" borderId="0" xfId="58" applyNumberFormat="1" applyFont="1" applyFill="1" applyBorder="1" applyAlignment="1" applyProtection="1">
      <alignment vertical="center" wrapText="1"/>
      <protection/>
    </xf>
    <xf numFmtId="172" fontId="15" fillId="33" borderId="21" xfId="58" applyNumberFormat="1" applyFont="1" applyFill="1" applyBorder="1" applyAlignment="1" applyProtection="1">
      <alignment vertical="center"/>
      <protection/>
    </xf>
    <xf numFmtId="172" fontId="15" fillId="33" borderId="0" xfId="58" applyNumberFormat="1" applyFont="1" applyFill="1" applyBorder="1" applyAlignment="1" applyProtection="1">
      <alignment horizontal="center" vertical="center" wrapText="1"/>
      <protection/>
    </xf>
    <xf numFmtId="172" fontId="15" fillId="33" borderId="0" xfId="58" applyNumberFormat="1" applyFont="1" applyFill="1" applyBorder="1" applyAlignment="1" applyProtection="1">
      <alignment vertical="center"/>
      <protection/>
    </xf>
    <xf numFmtId="172" fontId="15" fillId="33" borderId="21" xfId="58" applyNumberFormat="1" applyFont="1" applyFill="1" applyBorder="1" applyAlignment="1" applyProtection="1">
      <alignment vertical="center" wrapText="1"/>
      <protection/>
    </xf>
    <xf numFmtId="0" fontId="6" fillId="33" borderId="0" xfId="58" applyFont="1" applyFill="1" applyBorder="1" applyAlignment="1" applyProtection="1">
      <alignment horizontal="center" vertical="center"/>
      <protection/>
    </xf>
    <xf numFmtId="0" fontId="6" fillId="38" borderId="18" xfId="58" applyFont="1" applyFill="1" applyBorder="1" applyAlignment="1" applyProtection="1">
      <alignment horizontal="center" vertical="center" wrapText="1"/>
      <protection/>
    </xf>
    <xf numFmtId="0" fontId="6" fillId="40" borderId="18" xfId="58" applyFont="1" applyFill="1" applyBorder="1" applyAlignment="1" applyProtection="1">
      <alignment horizontal="center" vertical="center" wrapText="1"/>
      <protection/>
    </xf>
    <xf numFmtId="0" fontId="6" fillId="41" borderId="18" xfId="58" applyFont="1" applyFill="1" applyBorder="1" applyAlignment="1" applyProtection="1">
      <alignment horizontal="center" vertical="center" wrapText="1"/>
      <protection/>
    </xf>
    <xf numFmtId="0" fontId="6" fillId="42" borderId="18" xfId="58" applyFont="1" applyFill="1" applyBorder="1" applyAlignment="1" applyProtection="1">
      <alignment horizontal="center" vertical="center" wrapText="1"/>
      <protection/>
    </xf>
    <xf numFmtId="0" fontId="6" fillId="38" borderId="18" xfId="58" applyFont="1" applyFill="1" applyBorder="1" applyAlignment="1" applyProtection="1">
      <alignment horizontal="center" vertical="center"/>
      <protection/>
    </xf>
    <xf numFmtId="0" fontId="6" fillId="40" borderId="18" xfId="58" applyFont="1" applyFill="1" applyBorder="1" applyAlignment="1" applyProtection="1">
      <alignment horizontal="center" vertical="center"/>
      <protection/>
    </xf>
    <xf numFmtId="0" fontId="6" fillId="41" borderId="18" xfId="58" applyFont="1" applyFill="1" applyBorder="1" applyAlignment="1" applyProtection="1">
      <alignment horizontal="center" vertical="center"/>
      <protection/>
    </xf>
    <xf numFmtId="0" fontId="6" fillId="42" borderId="18" xfId="58" applyFont="1" applyFill="1" applyBorder="1" applyAlignment="1" applyProtection="1">
      <alignment horizontal="center" vertical="center"/>
      <protection/>
    </xf>
    <xf numFmtId="0" fontId="16" fillId="33" borderId="23" xfId="58" applyFont="1" applyFill="1" applyBorder="1" applyAlignment="1" applyProtection="1">
      <alignment vertical="center"/>
      <protection/>
    </xf>
    <xf numFmtId="0" fontId="16" fillId="33" borderId="23" xfId="58" applyFont="1" applyFill="1" applyBorder="1" applyAlignment="1" applyProtection="1">
      <alignment horizontal="center" vertical="center" wrapText="1"/>
      <protection/>
    </xf>
    <xf numFmtId="0" fontId="16" fillId="33" borderId="24" xfId="58" applyFont="1" applyFill="1" applyBorder="1" applyAlignment="1" applyProtection="1">
      <alignment vertical="center"/>
      <protection/>
    </xf>
    <xf numFmtId="0" fontId="6" fillId="33" borderId="23" xfId="58" applyFont="1" applyFill="1" applyBorder="1" applyAlignment="1" applyProtection="1">
      <alignment vertical="center"/>
      <protection/>
    </xf>
    <xf numFmtId="0" fontId="6" fillId="33" borderId="23" xfId="58" applyFont="1" applyFill="1" applyBorder="1" applyAlignment="1" applyProtection="1">
      <alignment horizontal="center" vertical="center" wrapText="1"/>
      <protection/>
    </xf>
    <xf numFmtId="0" fontId="6" fillId="33" borderId="24" xfId="58" applyFont="1" applyFill="1" applyBorder="1" applyAlignment="1" applyProtection="1">
      <alignment vertical="center"/>
      <protection/>
    </xf>
    <xf numFmtId="0" fontId="12" fillId="33" borderId="18" xfId="58" applyFont="1" applyFill="1" applyBorder="1" applyAlignment="1" applyProtection="1">
      <alignment horizontal="center" vertical="center" wrapText="1"/>
      <protection/>
    </xf>
    <xf numFmtId="0" fontId="6" fillId="33" borderId="18" xfId="58" applyFont="1" applyFill="1" applyBorder="1" applyAlignment="1" applyProtection="1">
      <alignment horizontal="center" vertical="center"/>
      <protection/>
    </xf>
    <xf numFmtId="170" fontId="12" fillId="33" borderId="18" xfId="44" applyFont="1" applyFill="1" applyBorder="1" applyAlignment="1" applyProtection="1">
      <alignment horizontal="center" vertical="center" wrapText="1"/>
      <protection/>
    </xf>
    <xf numFmtId="10" fontId="12" fillId="33" borderId="18" xfId="58" applyNumberFormat="1" applyFont="1" applyFill="1" applyBorder="1" applyAlignment="1" applyProtection="1">
      <alignment horizontal="center" vertical="center" wrapText="1"/>
      <protection/>
    </xf>
    <xf numFmtId="10" fontId="6" fillId="33" borderId="18" xfId="58" applyNumberFormat="1" applyFont="1" applyFill="1" applyBorder="1" applyAlignment="1" applyProtection="1">
      <alignment horizontal="center" vertical="center"/>
      <protection/>
    </xf>
    <xf numFmtId="10" fontId="12" fillId="33" borderId="23" xfId="58" applyNumberFormat="1" applyFont="1" applyFill="1" applyBorder="1" applyAlignment="1" applyProtection="1">
      <alignment horizontal="center" vertical="center" wrapText="1"/>
      <protection/>
    </xf>
    <xf numFmtId="10" fontId="6" fillId="33" borderId="23" xfId="58" applyNumberFormat="1" applyFont="1" applyFill="1" applyBorder="1" applyAlignment="1" applyProtection="1">
      <alignment horizontal="center" vertical="center"/>
      <protection/>
    </xf>
    <xf numFmtId="170" fontId="12" fillId="33" borderId="23" xfId="44" applyFont="1" applyFill="1" applyBorder="1" applyAlignment="1" applyProtection="1">
      <alignment horizontal="center" vertical="center" wrapText="1"/>
      <protection/>
    </xf>
    <xf numFmtId="0" fontId="6" fillId="33" borderId="23" xfId="58" applyFont="1" applyFill="1" applyBorder="1" applyAlignment="1" applyProtection="1">
      <alignment horizontal="center" vertical="center"/>
      <protection/>
    </xf>
    <xf numFmtId="0" fontId="6" fillId="33" borderId="24" xfId="58" applyFont="1" applyFill="1" applyBorder="1" applyAlignment="1" applyProtection="1">
      <alignment horizontal="center" vertical="center"/>
      <protection/>
    </xf>
    <xf numFmtId="10" fontId="12" fillId="33" borderId="18" xfId="58" applyNumberFormat="1" applyFont="1" applyFill="1" applyBorder="1" applyAlignment="1" applyProtection="1">
      <alignment horizontal="center" vertical="center"/>
      <protection/>
    </xf>
    <xf numFmtId="10" fontId="12" fillId="33" borderId="18" xfId="63" applyNumberFormat="1" applyFont="1" applyFill="1" applyBorder="1" applyAlignment="1" applyProtection="1">
      <alignment horizontal="center" vertical="center"/>
      <protection/>
    </xf>
    <xf numFmtId="0" fontId="12" fillId="33" borderId="23" xfId="58" applyFont="1" applyFill="1" applyBorder="1" applyAlignment="1" applyProtection="1">
      <alignment horizontal="center" vertical="center" wrapText="1"/>
      <protection/>
    </xf>
    <xf numFmtId="0" fontId="12" fillId="33" borderId="23" xfId="58" applyFont="1" applyFill="1" applyBorder="1" applyAlignment="1" applyProtection="1">
      <alignment horizontal="center" vertical="center"/>
      <protection/>
    </xf>
    <xf numFmtId="0" fontId="12" fillId="33" borderId="24" xfId="58" applyFont="1" applyFill="1" applyBorder="1" applyAlignment="1" applyProtection="1">
      <alignment horizontal="center" vertical="center"/>
      <protection/>
    </xf>
    <xf numFmtId="0" fontId="12" fillId="33" borderId="18" xfId="58" applyNumberFormat="1" applyFont="1" applyFill="1" applyBorder="1" applyAlignment="1" applyProtection="1">
      <alignment horizontal="center" vertical="center"/>
      <protection/>
    </xf>
    <xf numFmtId="0" fontId="17" fillId="33" borderId="18" xfId="58" applyFont="1" applyFill="1" applyBorder="1" applyAlignment="1" applyProtection="1">
      <alignment horizontal="center" vertical="center"/>
      <protection/>
    </xf>
    <xf numFmtId="9" fontId="17" fillId="33" borderId="18" xfId="58" applyNumberFormat="1" applyFont="1" applyFill="1" applyBorder="1" applyAlignment="1" applyProtection="1">
      <alignment horizontal="center" vertical="center"/>
      <protection/>
    </xf>
    <xf numFmtId="9" fontId="12" fillId="33" borderId="18" xfId="58" applyNumberFormat="1" applyFont="1" applyFill="1" applyBorder="1" applyAlignment="1" applyProtection="1">
      <alignment horizontal="center" vertical="center"/>
      <protection/>
    </xf>
    <xf numFmtId="9" fontId="12" fillId="33" borderId="24" xfId="58" applyNumberFormat="1" applyFont="1" applyFill="1" applyBorder="1" applyAlignment="1" applyProtection="1">
      <alignment horizontal="center" vertical="center"/>
      <protection/>
    </xf>
    <xf numFmtId="0" fontId="12" fillId="33" borderId="0" xfId="58" applyFont="1" applyFill="1" applyBorder="1" applyAlignment="1" applyProtection="1">
      <alignment horizontal="left" vertical="center"/>
      <protection/>
    </xf>
    <xf numFmtId="0" fontId="6" fillId="33" borderId="0" xfId="58" applyFont="1" applyFill="1" applyBorder="1" applyProtection="1">
      <alignment/>
      <protection/>
    </xf>
    <xf numFmtId="0" fontId="12" fillId="33" borderId="24" xfId="58" applyFont="1" applyFill="1" applyBorder="1" applyAlignment="1" applyProtection="1">
      <alignment horizontal="center" vertical="center" wrapText="1"/>
      <protection/>
    </xf>
    <xf numFmtId="0" fontId="12" fillId="33" borderId="0" xfId="58" applyFont="1" applyFill="1" applyBorder="1" applyAlignment="1" applyProtection="1">
      <alignment wrapText="1"/>
      <protection/>
    </xf>
    <xf numFmtId="0" fontId="12" fillId="33" borderId="0" xfId="58" applyFont="1" applyFill="1" applyBorder="1" applyAlignment="1" applyProtection="1">
      <alignment horizontal="center" wrapText="1"/>
      <protection/>
    </xf>
    <xf numFmtId="170" fontId="12" fillId="33" borderId="0" xfId="44" applyFont="1" applyFill="1" applyBorder="1" applyAlignment="1" applyProtection="1">
      <alignment wrapText="1"/>
      <protection/>
    </xf>
    <xf numFmtId="170" fontId="12" fillId="33" borderId="0" xfId="44" applyFont="1" applyFill="1" applyBorder="1" applyAlignment="1" applyProtection="1">
      <alignment/>
      <protection/>
    </xf>
    <xf numFmtId="0" fontId="14" fillId="33" borderId="0" xfId="58" applyFont="1" applyFill="1" applyBorder="1" applyAlignment="1" applyProtection="1">
      <alignment/>
      <protection locked="0"/>
    </xf>
    <xf numFmtId="0" fontId="12" fillId="33" borderId="18" xfId="58" applyFont="1" applyFill="1" applyBorder="1" applyAlignment="1" applyProtection="1">
      <alignment horizontal="center" vertical="center"/>
      <protection locked="0"/>
    </xf>
    <xf numFmtId="0" fontId="6" fillId="33" borderId="19" xfId="58" applyFont="1" applyFill="1" applyBorder="1" applyAlignment="1" applyProtection="1">
      <alignment vertical="center" wrapText="1"/>
      <protection/>
    </xf>
    <xf numFmtId="0" fontId="6" fillId="33" borderId="20" xfId="58" applyFont="1" applyFill="1" applyBorder="1" applyAlignment="1" applyProtection="1">
      <alignment vertical="center" wrapText="1"/>
      <protection/>
    </xf>
    <xf numFmtId="0" fontId="12" fillId="33" borderId="19" xfId="58" applyFont="1" applyFill="1" applyBorder="1" applyAlignment="1" applyProtection="1">
      <alignment vertical="center" wrapText="1"/>
      <protection/>
    </xf>
    <xf numFmtId="0" fontId="12" fillId="33" borderId="27" xfId="58" applyFont="1" applyFill="1" applyBorder="1" applyAlignment="1" applyProtection="1">
      <alignment vertical="center" wrapText="1"/>
      <protection/>
    </xf>
    <xf numFmtId="0" fontId="12" fillId="33" borderId="22" xfId="58" applyFont="1" applyFill="1" applyBorder="1" applyAlignment="1" applyProtection="1">
      <alignment horizontal="center" vertical="center" wrapText="1"/>
      <protection/>
    </xf>
    <xf numFmtId="0" fontId="12" fillId="33" borderId="23" xfId="58" applyFont="1" applyFill="1" applyBorder="1" applyAlignment="1" applyProtection="1">
      <alignment horizontal="left" vertical="center" wrapText="1"/>
      <protection/>
    </xf>
    <xf numFmtId="0" fontId="12" fillId="43" borderId="18" xfId="58" applyFont="1" applyFill="1" applyBorder="1" applyAlignment="1" applyProtection="1">
      <alignment horizontal="center" vertical="center"/>
      <protection/>
    </xf>
    <xf numFmtId="0" fontId="6" fillId="33" borderId="18" xfId="58" applyFont="1" applyFill="1" applyBorder="1" applyAlignment="1" applyProtection="1">
      <alignment horizontal="left" vertical="center"/>
      <protection/>
    </xf>
    <xf numFmtId="170" fontId="12" fillId="33" borderId="18" xfId="44" applyFont="1" applyFill="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3" fillId="33" borderId="0" xfId="57" applyFont="1" applyFill="1" applyProtection="1">
      <alignment/>
      <protection locked="0"/>
    </xf>
    <xf numFmtId="0" fontId="33" fillId="33" borderId="0" xfId="57" applyFont="1" applyFill="1" applyAlignment="1" applyProtection="1">
      <alignment/>
      <protection locked="0"/>
    </xf>
    <xf numFmtId="0" fontId="33" fillId="33" borderId="0" xfId="57" applyFont="1" applyFill="1" applyAlignment="1" applyProtection="1">
      <alignment horizontal="left"/>
      <protection locked="0"/>
    </xf>
    <xf numFmtId="0" fontId="35" fillId="33" borderId="15" xfId="59" applyFont="1" applyFill="1" applyBorder="1" applyAlignment="1">
      <alignment horizontal="center" vertical="center" wrapText="1"/>
      <protection/>
    </xf>
    <xf numFmtId="0" fontId="35" fillId="33" borderId="28" xfId="59" applyFont="1" applyFill="1" applyBorder="1" applyAlignment="1">
      <alignment horizontal="left" vertical="center" wrapText="1"/>
      <protection/>
    </xf>
    <xf numFmtId="0" fontId="35" fillId="33" borderId="29" xfId="59" applyFont="1" applyFill="1" applyBorder="1" applyAlignment="1">
      <alignment horizontal="left" vertical="center" wrapText="1"/>
      <protection/>
    </xf>
    <xf numFmtId="0" fontId="35" fillId="33" borderId="23" xfId="59" applyFont="1" applyFill="1" applyBorder="1" applyAlignment="1">
      <alignment horizontal="left" vertical="center" wrapText="1"/>
      <protection/>
    </xf>
    <xf numFmtId="0" fontId="35" fillId="33" borderId="30" xfId="59" applyFont="1" applyFill="1" applyBorder="1" applyAlignment="1">
      <alignment horizontal="left" vertical="center" wrapText="1"/>
      <protection/>
    </xf>
    <xf numFmtId="0" fontId="36" fillId="33" borderId="0" xfId="59" applyFont="1" applyFill="1" applyAlignment="1">
      <alignment vertical="center"/>
      <protection/>
    </xf>
    <xf numFmtId="0" fontId="35" fillId="33" borderId="29" xfId="59" applyFont="1" applyFill="1" applyBorder="1" applyAlignment="1">
      <alignment horizontal="center" vertical="center" wrapText="1"/>
      <protection/>
    </xf>
    <xf numFmtId="0" fontId="36" fillId="33" borderId="0" xfId="59" applyFont="1" applyFill="1">
      <alignment/>
      <protection/>
    </xf>
    <xf numFmtId="0" fontId="30" fillId="33" borderId="0" xfId="59" applyFont="1" applyFill="1" applyAlignment="1">
      <alignment horizontal="center"/>
      <protection/>
    </xf>
    <xf numFmtId="0" fontId="0" fillId="33" borderId="0" xfId="59" applyFill="1" applyAlignment="1">
      <alignment horizontal="center"/>
      <protection/>
    </xf>
    <xf numFmtId="0" fontId="4" fillId="33" borderId="0" xfId="57" applyFont="1" applyFill="1" applyBorder="1" applyAlignment="1" applyProtection="1">
      <alignment horizontal="center"/>
      <protection hidden="1"/>
    </xf>
    <xf numFmtId="0" fontId="5" fillId="33" borderId="0" xfId="57" applyFont="1" applyFill="1" applyBorder="1" applyAlignment="1" applyProtection="1">
      <alignment horizontal="center"/>
      <protection hidden="1"/>
    </xf>
    <xf numFmtId="0" fontId="6" fillId="33" borderId="0" xfId="58" applyFont="1" applyFill="1" applyBorder="1" applyAlignment="1" applyProtection="1">
      <alignment horizontal="left" vertical="center" wrapText="1"/>
      <protection locked="0"/>
    </xf>
    <xf numFmtId="0" fontId="11" fillId="33" borderId="0" xfId="57" applyFont="1" applyFill="1" applyBorder="1" applyAlignment="1" applyProtection="1">
      <alignment horizontal="left"/>
      <protection locked="0"/>
    </xf>
    <xf numFmtId="0" fontId="0" fillId="0" borderId="21" xfId="0" applyFill="1" applyBorder="1" applyAlignment="1" applyProtection="1">
      <alignment horizontal="center"/>
      <protection locked="0"/>
    </xf>
    <xf numFmtId="0" fontId="0" fillId="0" borderId="21" xfId="0" applyBorder="1" applyAlignment="1" applyProtection="1">
      <alignment horizontal="center"/>
      <protection locked="0"/>
    </xf>
    <xf numFmtId="49" fontId="0" fillId="0" borderId="21" xfId="0" applyNumberFormat="1" applyBorder="1" applyAlignment="1" applyProtection="1">
      <alignment horizontal="center"/>
      <protection locked="0"/>
    </xf>
    <xf numFmtId="15" fontId="0" fillId="0" borderId="21" xfId="0" applyNumberFormat="1" applyBorder="1" applyAlignment="1" applyProtection="1">
      <alignment horizontal="center"/>
      <protection locked="0"/>
    </xf>
    <xf numFmtId="0" fontId="0" fillId="0" borderId="23" xfId="0" applyBorder="1" applyAlignment="1" applyProtection="1">
      <alignment horizontal="center"/>
      <protection locked="0"/>
    </xf>
    <xf numFmtId="0" fontId="20" fillId="0" borderId="0" xfId="0" applyFont="1" applyAlignment="1" applyProtection="1">
      <alignment wrapText="1"/>
      <protection/>
    </xf>
    <xf numFmtId="0" fontId="6" fillId="33" borderId="18" xfId="58" applyFont="1" applyFill="1" applyBorder="1" applyAlignment="1" applyProtection="1">
      <alignment horizontal="center" vertical="center" wrapText="1"/>
      <protection/>
    </xf>
    <xf numFmtId="173" fontId="7" fillId="33" borderId="18" xfId="44" applyNumberFormat="1" applyFont="1" applyFill="1" applyBorder="1" applyAlignment="1" applyProtection="1">
      <alignment horizontal="center" vertical="center" wrapText="1"/>
      <protection/>
    </xf>
    <xf numFmtId="2" fontId="7" fillId="33" borderId="18" xfId="58" applyNumberFormat="1" applyFont="1" applyFill="1" applyBorder="1" applyAlignment="1" applyProtection="1">
      <alignment horizontal="center" vertical="center" wrapText="1"/>
      <protection/>
    </xf>
    <xf numFmtId="0" fontId="6" fillId="33" borderId="18" xfId="58" applyFont="1" applyFill="1" applyBorder="1" applyAlignment="1" applyProtection="1">
      <alignment horizontal="center" vertical="center" wrapText="1"/>
      <protection locked="0"/>
    </xf>
    <xf numFmtId="0" fontId="17" fillId="33" borderId="0" xfId="58" applyFont="1" applyFill="1" applyBorder="1" applyAlignment="1" applyProtection="1">
      <alignment horizontal="left" vertical="center" wrapText="1"/>
      <protection hidden="1"/>
    </xf>
    <xf numFmtId="0" fontId="29" fillId="33" borderId="0" xfId="59" applyFont="1" applyFill="1" applyBorder="1" applyAlignment="1">
      <alignment horizontal="center"/>
      <protection/>
    </xf>
    <xf numFmtId="0" fontId="0" fillId="33" borderId="0" xfId="59" applyFill="1" applyBorder="1" applyAlignment="1">
      <alignment horizontal="left"/>
      <protection/>
    </xf>
    <xf numFmtId="0" fontId="0" fillId="33" borderId="31" xfId="59"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DEADA"/>
      <rgbColor rgb="00DBEEF4"/>
      <rgbColor rgb="00660066"/>
      <rgbColor rgb="00FF8080"/>
      <rgbColor rgb="000066CC"/>
      <rgbColor rgb="00DDD9C3"/>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C3D69B"/>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35</xdr:row>
      <xdr:rowOff>133350</xdr:rowOff>
    </xdr:from>
    <xdr:to>
      <xdr:col>11</xdr:col>
      <xdr:colOff>1000125</xdr:colOff>
      <xdr:row>40</xdr:row>
      <xdr:rowOff>85725</xdr:rowOff>
    </xdr:to>
    <xdr:pic>
      <xdr:nvPicPr>
        <xdr:cNvPr id="1" name="Picture 1"/>
        <xdr:cNvPicPr preferRelativeResize="1">
          <a:picLocks noChangeAspect="1"/>
        </xdr:cNvPicPr>
      </xdr:nvPicPr>
      <xdr:blipFill>
        <a:blip r:embed="rId1"/>
        <a:stretch>
          <a:fillRect/>
        </a:stretch>
      </xdr:blipFill>
      <xdr:spPr>
        <a:xfrm>
          <a:off x="13125450" y="6562725"/>
          <a:ext cx="933450" cy="923925"/>
        </a:xfrm>
        <a:prstGeom prst="rect">
          <a:avLst/>
        </a:prstGeom>
        <a:noFill/>
        <a:ln w="9525" cmpd="sng">
          <a:noFill/>
        </a:ln>
      </xdr:spPr>
    </xdr:pic>
    <xdr:clientData/>
  </xdr:twoCellAnchor>
  <xdr:twoCellAnchor editAs="oneCell">
    <xdr:from>
      <xdr:col>16</xdr:col>
      <xdr:colOff>66675</xdr:colOff>
      <xdr:row>36</xdr:row>
      <xdr:rowOff>66675</xdr:rowOff>
    </xdr:from>
    <xdr:to>
      <xdr:col>16</xdr:col>
      <xdr:colOff>1238250</xdr:colOff>
      <xdr:row>38</xdr:row>
      <xdr:rowOff>123825</xdr:rowOff>
    </xdr:to>
    <xdr:pic>
      <xdr:nvPicPr>
        <xdr:cNvPr id="2" name="Picture 2"/>
        <xdr:cNvPicPr preferRelativeResize="1">
          <a:picLocks noChangeAspect="1"/>
        </xdr:cNvPicPr>
      </xdr:nvPicPr>
      <xdr:blipFill>
        <a:blip r:embed="rId2"/>
        <a:stretch>
          <a:fillRect/>
        </a:stretch>
      </xdr:blipFill>
      <xdr:spPr>
        <a:xfrm>
          <a:off x="21412200" y="6686550"/>
          <a:ext cx="1171575" cy="447675"/>
        </a:xfrm>
        <a:prstGeom prst="rect">
          <a:avLst/>
        </a:prstGeom>
        <a:noFill/>
        <a:ln w="9525" cmpd="sng">
          <a:noFill/>
        </a:ln>
      </xdr:spPr>
    </xdr:pic>
    <xdr:clientData/>
  </xdr:twoCellAnchor>
  <xdr:twoCellAnchor editAs="oneCell">
    <xdr:from>
      <xdr:col>13</xdr:col>
      <xdr:colOff>104775</xdr:colOff>
      <xdr:row>35</xdr:row>
      <xdr:rowOff>85725</xdr:rowOff>
    </xdr:from>
    <xdr:to>
      <xdr:col>13</xdr:col>
      <xdr:colOff>1038225</xdr:colOff>
      <xdr:row>40</xdr:row>
      <xdr:rowOff>38100</xdr:rowOff>
    </xdr:to>
    <xdr:pic>
      <xdr:nvPicPr>
        <xdr:cNvPr id="3" name="Picture 3"/>
        <xdr:cNvPicPr preferRelativeResize="1">
          <a:picLocks noChangeAspect="1"/>
        </xdr:cNvPicPr>
      </xdr:nvPicPr>
      <xdr:blipFill>
        <a:blip r:embed="rId1"/>
        <a:stretch>
          <a:fillRect/>
        </a:stretch>
      </xdr:blipFill>
      <xdr:spPr>
        <a:xfrm>
          <a:off x="16887825" y="6515100"/>
          <a:ext cx="9334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82</xdr:row>
      <xdr:rowOff>123825</xdr:rowOff>
    </xdr:from>
    <xdr:to>
      <xdr:col>0</xdr:col>
      <xdr:colOff>38100</xdr:colOff>
      <xdr:row>82</xdr:row>
      <xdr:rowOff>133350</xdr:rowOff>
    </xdr:to>
    <xdr:sp>
      <xdr:nvSpPr>
        <xdr:cNvPr id="1"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2"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3"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4"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5"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6"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7"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8"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9"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10"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11"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12"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13"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14"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15"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82</xdr:row>
      <xdr:rowOff>123825</xdr:rowOff>
    </xdr:from>
    <xdr:to>
      <xdr:col>0</xdr:col>
      <xdr:colOff>38100</xdr:colOff>
      <xdr:row>82</xdr:row>
      <xdr:rowOff>133350</xdr:rowOff>
    </xdr:to>
    <xdr:sp>
      <xdr:nvSpPr>
        <xdr:cNvPr id="16" name="AutoShape 1"/>
        <xdr:cNvSpPr>
          <a:spLocks/>
        </xdr:cNvSpPr>
      </xdr:nvSpPr>
      <xdr:spPr>
        <a:xfrm>
          <a:off x="28575" y="17878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1085850</xdr:colOff>
      <xdr:row>17</xdr:row>
      <xdr:rowOff>9525</xdr:rowOff>
    </xdr:from>
    <xdr:to>
      <xdr:col>1</xdr:col>
      <xdr:colOff>2019300</xdr:colOff>
      <xdr:row>22</xdr:row>
      <xdr:rowOff>123825</xdr:rowOff>
    </xdr:to>
    <xdr:pic>
      <xdr:nvPicPr>
        <xdr:cNvPr id="1" name="Picture 1"/>
        <xdr:cNvPicPr preferRelativeResize="1">
          <a:picLocks noChangeAspect="1"/>
        </xdr:cNvPicPr>
      </xdr:nvPicPr>
      <xdr:blipFill>
        <a:blip r:embed="rId1"/>
        <a:stretch>
          <a:fillRect/>
        </a:stretch>
      </xdr:blipFill>
      <xdr:spPr>
        <a:xfrm>
          <a:off x="2076450" y="7315200"/>
          <a:ext cx="933450" cy="923925"/>
        </a:xfrm>
        <a:prstGeom prst="rect">
          <a:avLst/>
        </a:prstGeom>
        <a:noFill/>
        <a:ln w="9525" cmpd="sng">
          <a:noFill/>
        </a:ln>
      </xdr:spPr>
    </xdr:pic>
    <xdr:clientData/>
  </xdr:twoCellAnchor>
  <xdr:twoCellAnchor editAs="oneCell">
    <xdr:from>
      <xdr:col>3</xdr:col>
      <xdr:colOff>371475</xdr:colOff>
      <xdr:row>17</xdr:row>
      <xdr:rowOff>133350</xdr:rowOff>
    </xdr:from>
    <xdr:to>
      <xdr:col>3</xdr:col>
      <xdr:colOff>1543050</xdr:colOff>
      <xdr:row>20</xdr:row>
      <xdr:rowOff>95250</xdr:rowOff>
    </xdr:to>
    <xdr:pic>
      <xdr:nvPicPr>
        <xdr:cNvPr id="2" name="Picture 2"/>
        <xdr:cNvPicPr preferRelativeResize="1">
          <a:picLocks noChangeAspect="1"/>
        </xdr:cNvPicPr>
      </xdr:nvPicPr>
      <xdr:blipFill>
        <a:blip r:embed="rId2"/>
        <a:stretch>
          <a:fillRect/>
        </a:stretch>
      </xdr:blipFill>
      <xdr:spPr>
        <a:xfrm>
          <a:off x="8362950" y="7439025"/>
          <a:ext cx="11715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checker%20file\(o.i)%20APCPI_AutoCheckerFile%20new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MR"/>
      <sheetName val="computation"/>
      <sheetName val="criteria"/>
      <sheetName val="Questionnaire"/>
      <sheetName val="APCPI"/>
      <sheetName val="Action Plan"/>
    </sheetNames>
    <sheetDataSet>
      <sheetData sheetId="2">
        <row r="75">
          <cell r="C75" t="str">
            <v>Not Compliant </v>
          </cell>
          <cell r="E75" t="str">
            <v>Partially Compliant</v>
          </cell>
          <cell r="G75" t="str">
            <v>Substantially Compliant</v>
          </cell>
          <cell r="I75" t="str">
            <v>Fully Compliant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41"/>
  <sheetViews>
    <sheetView tabSelected="1" zoomScale="85" zoomScaleNormal="85" zoomScalePageLayoutView="0" workbookViewId="0" topLeftCell="J1">
      <selection activeCell="M53" sqref="M53"/>
    </sheetView>
  </sheetViews>
  <sheetFormatPr defaultColWidth="11.421875" defaultRowHeight="12.75"/>
  <cols>
    <col min="1" max="1" width="40.57421875" style="1" customWidth="1"/>
    <col min="2" max="2" width="18.28125" style="1" customWidth="1"/>
    <col min="3" max="3" width="15.8515625" style="1" customWidth="1"/>
    <col min="4" max="4" width="15.57421875" style="1" customWidth="1"/>
    <col min="5" max="5" width="16.421875" style="2" customWidth="1"/>
    <col min="6" max="6" width="16.140625" style="1" customWidth="1"/>
    <col min="7" max="7" width="15.421875" style="1" customWidth="1"/>
    <col min="8" max="9" width="14.7109375" style="1" customWidth="1"/>
    <col min="10" max="10" width="16.421875" style="1" customWidth="1"/>
    <col min="11" max="11" width="11.7109375" style="1" customWidth="1"/>
    <col min="12" max="12" width="39.00390625" style="1" customWidth="1"/>
    <col min="13" max="13" width="16.8515625" style="1" customWidth="1"/>
    <col min="14" max="14" width="20.421875" style="1" customWidth="1"/>
    <col min="15" max="15" width="23.7109375" style="1" customWidth="1"/>
    <col min="16" max="16" width="24.28125" style="1" customWidth="1"/>
    <col min="17" max="17" width="20.28125" style="1" customWidth="1"/>
    <col min="18" max="18" width="19.7109375" style="1" customWidth="1"/>
    <col min="19" max="19" width="14.421875" style="1" customWidth="1"/>
    <col min="20" max="16384" width="11.421875" style="1" customWidth="1"/>
  </cols>
  <sheetData>
    <row r="1" spans="1:21" s="4" customFormat="1" ht="15.75">
      <c r="A1" s="305" t="s">
        <v>0</v>
      </c>
      <c r="B1" s="305"/>
      <c r="C1" s="305"/>
      <c r="D1" s="305"/>
      <c r="E1" s="305"/>
      <c r="F1" s="305"/>
      <c r="G1" s="305"/>
      <c r="H1" s="305"/>
      <c r="I1" s="305"/>
      <c r="J1" s="305"/>
      <c r="K1" s="305"/>
      <c r="L1" s="305" t="s">
        <v>0</v>
      </c>
      <c r="M1" s="305"/>
      <c r="N1" s="305"/>
      <c r="O1" s="305"/>
      <c r="P1" s="305"/>
      <c r="Q1" s="305"/>
      <c r="R1" s="305"/>
      <c r="S1" s="305"/>
      <c r="T1" s="3"/>
      <c r="U1" s="3"/>
    </row>
    <row r="2" spans="1:21" s="4" customFormat="1" ht="15.75">
      <c r="A2" s="305" t="s">
        <v>1</v>
      </c>
      <c r="B2" s="305"/>
      <c r="C2" s="305"/>
      <c r="D2" s="305"/>
      <c r="E2" s="305"/>
      <c r="F2" s="305"/>
      <c r="G2" s="305"/>
      <c r="H2" s="305"/>
      <c r="I2" s="305"/>
      <c r="J2" s="305"/>
      <c r="K2" s="305"/>
      <c r="L2" s="305" t="s">
        <v>1</v>
      </c>
      <c r="M2" s="305"/>
      <c r="N2" s="305"/>
      <c r="O2" s="305"/>
      <c r="P2" s="305"/>
      <c r="Q2" s="305"/>
      <c r="R2" s="305"/>
      <c r="S2" s="305"/>
      <c r="T2" s="3"/>
      <c r="U2" s="3"/>
    </row>
    <row r="3" spans="1:21" s="4" customFormat="1" ht="15.75">
      <c r="A3" s="305" t="s">
        <v>2</v>
      </c>
      <c r="B3" s="305"/>
      <c r="C3" s="305"/>
      <c r="D3" s="305"/>
      <c r="E3" s="305"/>
      <c r="F3" s="305"/>
      <c r="G3" s="305"/>
      <c r="H3" s="305"/>
      <c r="I3" s="305"/>
      <c r="J3" s="305"/>
      <c r="K3" s="305"/>
      <c r="L3" s="305" t="s">
        <v>2</v>
      </c>
      <c r="M3" s="305"/>
      <c r="N3" s="305"/>
      <c r="O3" s="305"/>
      <c r="P3" s="305"/>
      <c r="Q3" s="305"/>
      <c r="R3" s="305"/>
      <c r="S3" s="305"/>
      <c r="T3" s="3"/>
      <c r="U3" s="3"/>
    </row>
    <row r="4" spans="1:21" s="4" customFormat="1" ht="12.75" customHeight="1">
      <c r="A4" s="306" t="s">
        <v>3</v>
      </c>
      <c r="B4" s="306"/>
      <c r="C4" s="306"/>
      <c r="D4" s="306"/>
      <c r="E4" s="306"/>
      <c r="F4" s="306"/>
      <c r="G4" s="306"/>
      <c r="H4" s="306"/>
      <c r="I4" s="306"/>
      <c r="J4" s="306"/>
      <c r="K4" s="306"/>
      <c r="L4" s="305" t="s">
        <v>4</v>
      </c>
      <c r="M4" s="305"/>
      <c r="N4" s="305"/>
      <c r="O4" s="305"/>
      <c r="P4" s="305"/>
      <c r="Q4" s="305"/>
      <c r="R4" s="305"/>
      <c r="S4" s="305"/>
      <c r="T4" s="3"/>
      <c r="U4" s="3"/>
    </row>
    <row r="5" spans="1:21" ht="12.75">
      <c r="A5" s="5"/>
      <c r="B5" s="5"/>
      <c r="C5" s="5"/>
      <c r="D5" s="5"/>
      <c r="E5" s="6"/>
      <c r="F5" s="5"/>
      <c r="G5" s="5"/>
      <c r="H5" s="5"/>
      <c r="I5" s="5"/>
      <c r="J5" s="5"/>
      <c r="K5" s="5"/>
      <c r="L5" s="5"/>
      <c r="M5" s="5"/>
      <c r="N5" s="5"/>
      <c r="O5" s="5"/>
      <c r="P5" s="6"/>
      <c r="Q5" s="5"/>
      <c r="R5" s="5"/>
      <c r="S5" s="5"/>
      <c r="T5" s="5"/>
      <c r="U5" s="5"/>
    </row>
    <row r="6" spans="1:20" ht="12.75" customHeight="1">
      <c r="A6" s="307" t="str">
        <f>APCPI!A7</f>
        <v>Name of Agency: PANGASINAN STATE UNIVERSITY</v>
      </c>
      <c r="B6" s="307"/>
      <c r="C6" s="8"/>
      <c r="D6" s="8"/>
      <c r="E6" s="9"/>
      <c r="F6" s="8"/>
      <c r="H6" s="8"/>
      <c r="I6" s="8"/>
      <c r="J6" s="10" t="s">
        <v>408</v>
      </c>
      <c r="K6" s="10"/>
      <c r="L6" s="307" t="str">
        <f>A6</f>
        <v>Name of Agency: PANGASINAN STATE UNIVERSITY</v>
      </c>
      <c r="M6" s="307"/>
      <c r="N6" s="8"/>
      <c r="O6" s="8"/>
      <c r="P6" s="9"/>
      <c r="Q6" s="8"/>
      <c r="R6" s="10" t="str">
        <f>J6</f>
        <v>Period  Covered:  CY 2016</v>
      </c>
      <c r="S6" s="8"/>
      <c r="T6" s="8"/>
    </row>
    <row r="7" spans="1:21" ht="12.75">
      <c r="A7" s="5"/>
      <c r="B7" s="5"/>
      <c r="C7" s="5"/>
      <c r="D7" s="5"/>
      <c r="E7" s="6"/>
      <c r="F7" s="5"/>
      <c r="G7" s="5"/>
      <c r="H7" s="5"/>
      <c r="I7" s="5"/>
      <c r="J7" s="5"/>
      <c r="K7" s="5"/>
      <c r="L7" s="5"/>
      <c r="M7" s="5"/>
      <c r="N7" s="5"/>
      <c r="O7" s="5"/>
      <c r="P7" s="6"/>
      <c r="Q7" s="5"/>
      <c r="R7" s="5"/>
      <c r="S7" s="5"/>
      <c r="T7" s="5"/>
      <c r="U7" s="5"/>
    </row>
    <row r="8" spans="1:14" ht="12.75">
      <c r="A8" s="5"/>
      <c r="B8" s="5"/>
      <c r="C8" s="5"/>
      <c r="D8" s="5"/>
      <c r="E8" s="6"/>
      <c r="F8" s="5"/>
      <c r="G8" s="5"/>
      <c r="H8" s="5"/>
      <c r="I8" s="5"/>
      <c r="J8" s="5"/>
      <c r="K8" s="5"/>
      <c r="L8" s="5"/>
      <c r="M8" s="5"/>
      <c r="N8" s="5"/>
    </row>
    <row r="9" spans="1:14" ht="12.75">
      <c r="A9" s="11"/>
      <c r="B9" s="11"/>
      <c r="C9" s="11"/>
      <c r="D9" s="11"/>
      <c r="E9" s="12"/>
      <c r="F9" s="11"/>
      <c r="G9" s="11"/>
      <c r="H9" s="11"/>
      <c r="I9" s="13"/>
      <c r="J9" s="13"/>
      <c r="K9" s="13"/>
      <c r="L9" s="13"/>
      <c r="M9" s="13"/>
      <c r="N9" s="13"/>
    </row>
    <row r="11" spans="1:19" s="17" customFormat="1" ht="63.75">
      <c r="A11" s="14" t="s">
        <v>5</v>
      </c>
      <c r="B11" s="15" t="s">
        <v>6</v>
      </c>
      <c r="C11" s="15" t="s">
        <v>7</v>
      </c>
      <c r="D11" s="15" t="s">
        <v>8</v>
      </c>
      <c r="E11" s="16" t="s">
        <v>9</v>
      </c>
      <c r="F11" s="15" t="s">
        <v>10</v>
      </c>
      <c r="G11" s="15" t="s">
        <v>11</v>
      </c>
      <c r="H11" s="15" t="s">
        <v>12</v>
      </c>
      <c r="I11" s="15" t="s">
        <v>13</v>
      </c>
      <c r="J11" s="15" t="s">
        <v>14</v>
      </c>
      <c r="K11" s="15" t="s">
        <v>15</v>
      </c>
      <c r="L11" s="14" t="s">
        <v>5</v>
      </c>
      <c r="M11" s="15" t="s">
        <v>16</v>
      </c>
      <c r="N11" s="15" t="s">
        <v>17</v>
      </c>
      <c r="O11" s="15" t="s">
        <v>18</v>
      </c>
      <c r="P11" s="15" t="s">
        <v>19</v>
      </c>
      <c r="Q11" s="15" t="s">
        <v>20</v>
      </c>
      <c r="R11" s="15" t="s">
        <v>21</v>
      </c>
      <c r="S11" s="15" t="s">
        <v>22</v>
      </c>
    </row>
    <row r="12" spans="1:19" ht="12.75">
      <c r="A12" s="18" t="s">
        <v>23</v>
      </c>
      <c r="B12" s="18" t="s">
        <v>24</v>
      </c>
      <c r="C12" s="18" t="s">
        <v>25</v>
      </c>
      <c r="D12" s="18" t="s">
        <v>26</v>
      </c>
      <c r="E12" s="19" t="s">
        <v>27</v>
      </c>
      <c r="F12" s="18" t="s">
        <v>28</v>
      </c>
      <c r="G12" s="18" t="s">
        <v>29</v>
      </c>
      <c r="H12" s="18" t="s">
        <v>30</v>
      </c>
      <c r="I12" s="18" t="s">
        <v>31</v>
      </c>
      <c r="J12" s="18" t="s">
        <v>32</v>
      </c>
      <c r="K12" s="20" t="s">
        <v>33</v>
      </c>
      <c r="L12" s="18"/>
      <c r="M12" s="18" t="s">
        <v>34</v>
      </c>
      <c r="N12" s="18" t="s">
        <v>35</v>
      </c>
      <c r="O12" s="18" t="s">
        <v>36</v>
      </c>
      <c r="P12" s="18" t="s">
        <v>37</v>
      </c>
      <c r="Q12" s="18" t="s">
        <v>38</v>
      </c>
      <c r="R12" s="18" t="s">
        <v>39</v>
      </c>
      <c r="S12" s="21" t="s">
        <v>40</v>
      </c>
    </row>
    <row r="13" spans="1:19" ht="12.75">
      <c r="A13" s="22" t="s">
        <v>41</v>
      </c>
      <c r="B13" s="23"/>
      <c r="C13" s="24"/>
      <c r="D13" s="24"/>
      <c r="E13" s="25"/>
      <c r="F13" s="24"/>
      <c r="G13" s="24"/>
      <c r="H13" s="24"/>
      <c r="I13" s="26"/>
      <c r="J13" s="24"/>
      <c r="K13" s="26"/>
      <c r="L13" s="22" t="s">
        <v>41</v>
      </c>
      <c r="M13" s="26"/>
      <c r="N13" s="26"/>
      <c r="O13" s="27"/>
      <c r="P13" s="24"/>
      <c r="Q13" s="24"/>
      <c r="R13" s="27"/>
      <c r="S13" s="27"/>
    </row>
    <row r="14" spans="1:19" ht="12.75">
      <c r="A14" s="28" t="s">
        <v>42</v>
      </c>
      <c r="B14" s="29">
        <f>56722645+14900000</f>
        <v>71622645</v>
      </c>
      <c r="C14" s="30">
        <f>29+4</f>
        <v>33</v>
      </c>
      <c r="D14" s="30">
        <f>25+4</f>
        <v>29</v>
      </c>
      <c r="E14" s="29">
        <f>53334743.22+14760488.5</f>
        <v>68095231.72</v>
      </c>
      <c r="F14" s="30">
        <v>1</v>
      </c>
      <c r="G14" s="30">
        <f>42+9</f>
        <v>51</v>
      </c>
      <c r="H14" s="30">
        <f>37+8</f>
        <v>45</v>
      </c>
      <c r="I14" s="31">
        <f>33+4</f>
        <v>37</v>
      </c>
      <c r="J14" s="31">
        <f>29+4</f>
        <v>33</v>
      </c>
      <c r="K14" s="31">
        <f>25+4</f>
        <v>29</v>
      </c>
      <c r="L14" s="28" t="s">
        <v>42</v>
      </c>
      <c r="M14" s="32">
        <v>0</v>
      </c>
      <c r="N14" s="32">
        <v>1</v>
      </c>
      <c r="O14" s="32">
        <v>1</v>
      </c>
      <c r="P14" s="32">
        <f>25+4</f>
        <v>29</v>
      </c>
      <c r="Q14" s="32">
        <f>25+4</f>
        <v>29</v>
      </c>
      <c r="R14" s="32">
        <v>0</v>
      </c>
      <c r="S14" s="32">
        <f>25+4</f>
        <v>29</v>
      </c>
    </row>
    <row r="15" spans="1:19" ht="12.75">
      <c r="A15" s="28" t="s">
        <v>43</v>
      </c>
      <c r="B15" s="29">
        <f>166300000+15312500</f>
        <v>181612500</v>
      </c>
      <c r="C15" s="30">
        <v>13</v>
      </c>
      <c r="D15" s="30">
        <v>13</v>
      </c>
      <c r="E15" s="29">
        <f>130188421.54+15247661.5</f>
        <v>145436083.04000002</v>
      </c>
      <c r="F15" s="30">
        <v>0</v>
      </c>
      <c r="G15" s="30">
        <f>13+5</f>
        <v>18</v>
      </c>
      <c r="H15" s="30">
        <f>12+5</f>
        <v>17</v>
      </c>
      <c r="I15" s="31">
        <f>12+5</f>
        <v>17</v>
      </c>
      <c r="J15" s="31">
        <f>9+5</f>
        <v>14</v>
      </c>
      <c r="K15" s="31">
        <f>9+5</f>
        <v>14</v>
      </c>
      <c r="L15" s="28" t="s">
        <v>43</v>
      </c>
      <c r="M15" s="32">
        <v>0</v>
      </c>
      <c r="N15" s="32">
        <v>3</v>
      </c>
      <c r="O15" s="32">
        <v>1</v>
      </c>
      <c r="P15" s="32">
        <f>9+5</f>
        <v>14</v>
      </c>
      <c r="Q15" s="32">
        <f>9+5</f>
        <v>14</v>
      </c>
      <c r="R15" s="32">
        <v>0</v>
      </c>
      <c r="S15" s="32">
        <f>9+5</f>
        <v>14</v>
      </c>
    </row>
    <row r="16" spans="1:19" ht="12.75">
      <c r="A16" s="33" t="s">
        <v>44</v>
      </c>
      <c r="B16" s="29">
        <v>2970000</v>
      </c>
      <c r="C16" s="30">
        <v>1</v>
      </c>
      <c r="D16" s="30">
        <v>1</v>
      </c>
      <c r="E16" s="29">
        <v>1443120</v>
      </c>
      <c r="F16" s="30">
        <v>0</v>
      </c>
      <c r="G16" s="30">
        <v>1</v>
      </c>
      <c r="H16" s="30">
        <v>1</v>
      </c>
      <c r="I16" s="31">
        <v>1</v>
      </c>
      <c r="J16" s="31">
        <v>1</v>
      </c>
      <c r="K16" s="31">
        <v>1</v>
      </c>
      <c r="L16" s="33" t="s">
        <v>44</v>
      </c>
      <c r="M16" s="32">
        <v>0</v>
      </c>
      <c r="N16" s="32">
        <v>0</v>
      </c>
      <c r="O16" s="32">
        <v>1</v>
      </c>
      <c r="P16" s="32">
        <v>1</v>
      </c>
      <c r="Q16" s="32">
        <v>1</v>
      </c>
      <c r="R16" s="32">
        <v>0</v>
      </c>
      <c r="S16" s="32">
        <v>1</v>
      </c>
    </row>
    <row r="17" spans="1:19" ht="12.75">
      <c r="A17" s="34" t="s">
        <v>45</v>
      </c>
      <c r="B17" s="35">
        <f aca="true" t="shared" si="0" ref="B17:K17">SUM(B14:B16)</f>
        <v>256205145</v>
      </c>
      <c r="C17" s="36">
        <f t="shared" si="0"/>
        <v>47</v>
      </c>
      <c r="D17" s="36">
        <f t="shared" si="0"/>
        <v>43</v>
      </c>
      <c r="E17" s="35">
        <f t="shared" si="0"/>
        <v>214974434.76000002</v>
      </c>
      <c r="F17" s="36">
        <f t="shared" si="0"/>
        <v>1</v>
      </c>
      <c r="G17" s="36">
        <f t="shared" si="0"/>
        <v>70</v>
      </c>
      <c r="H17" s="36">
        <f t="shared" si="0"/>
        <v>63</v>
      </c>
      <c r="I17" s="36">
        <f t="shared" si="0"/>
        <v>55</v>
      </c>
      <c r="J17" s="36">
        <f t="shared" si="0"/>
        <v>48</v>
      </c>
      <c r="K17" s="37">
        <f t="shared" si="0"/>
        <v>44</v>
      </c>
      <c r="L17" s="34" t="s">
        <v>45</v>
      </c>
      <c r="M17" s="36">
        <f>SUM(M14:M16)</f>
        <v>0</v>
      </c>
      <c r="N17" s="36">
        <f>SUM(N14:N16)</f>
        <v>4</v>
      </c>
      <c r="O17" s="38" t="s">
        <v>46</v>
      </c>
      <c r="P17" s="36">
        <f>SUM(P14:P16)</f>
        <v>44</v>
      </c>
      <c r="Q17" s="36">
        <f>SUM(Q14:Q16)</f>
        <v>44</v>
      </c>
      <c r="R17" s="39">
        <f>AVERAGE(R14:R16)</f>
        <v>0</v>
      </c>
      <c r="S17" s="37">
        <f>SUM(S14:S16)</f>
        <v>44</v>
      </c>
    </row>
    <row r="18" spans="1:19" ht="12.75">
      <c r="A18" s="40" t="s">
        <v>47</v>
      </c>
      <c r="B18" s="41"/>
      <c r="C18" s="42"/>
      <c r="D18" s="42"/>
      <c r="E18" s="43"/>
      <c r="F18" s="42"/>
      <c r="G18" s="42"/>
      <c r="H18" s="42"/>
      <c r="I18" s="44"/>
      <c r="J18" s="42"/>
      <c r="K18" s="44"/>
      <c r="L18" s="40" t="s">
        <v>47</v>
      </c>
      <c r="M18" s="45"/>
      <c r="N18" s="45"/>
      <c r="O18" s="46"/>
      <c r="P18" s="42"/>
      <c r="Q18" s="42"/>
      <c r="R18" s="46"/>
      <c r="S18" s="46"/>
    </row>
    <row r="19" spans="1:19" ht="12.75">
      <c r="A19" s="28" t="s">
        <v>48</v>
      </c>
      <c r="B19" s="29">
        <v>75000</v>
      </c>
      <c r="C19" s="30">
        <v>1</v>
      </c>
      <c r="D19" s="30">
        <v>1</v>
      </c>
      <c r="E19" s="29">
        <v>74500</v>
      </c>
      <c r="F19" s="47"/>
      <c r="G19" s="47"/>
      <c r="H19" s="47"/>
      <c r="I19" s="48"/>
      <c r="J19" s="30">
        <v>1</v>
      </c>
      <c r="K19" s="31">
        <v>1</v>
      </c>
      <c r="L19" s="28" t="s">
        <v>48</v>
      </c>
      <c r="M19" s="49"/>
      <c r="N19" s="49"/>
      <c r="O19" s="49"/>
      <c r="P19" s="50"/>
      <c r="Q19" s="50"/>
      <c r="R19" s="49"/>
      <c r="S19" s="49"/>
    </row>
    <row r="20" spans="1:19" ht="12.75">
      <c r="A20" s="28" t="s">
        <v>49</v>
      </c>
      <c r="B20" s="29">
        <f>3911819.55+2402612.33</f>
        <v>6314431.88</v>
      </c>
      <c r="C20" s="30">
        <f>404+101</f>
        <v>505</v>
      </c>
      <c r="D20" s="30">
        <f>249+124</f>
        <v>373</v>
      </c>
      <c r="E20" s="29">
        <f>4377873.85+1937576.51</f>
        <v>6315450.359999999</v>
      </c>
      <c r="F20" s="47"/>
      <c r="G20" s="47"/>
      <c r="H20" s="47"/>
      <c r="I20" s="48"/>
      <c r="J20" s="51"/>
      <c r="K20" s="52"/>
      <c r="L20" s="28" t="s">
        <v>49</v>
      </c>
      <c r="M20" s="49"/>
      <c r="N20" s="49"/>
      <c r="O20" s="53"/>
      <c r="P20" s="50"/>
      <c r="Q20" s="50"/>
      <c r="R20" s="53"/>
      <c r="S20" s="53"/>
    </row>
    <row r="21" spans="1:19" ht="12.75">
      <c r="A21" s="28" t="s">
        <v>50</v>
      </c>
      <c r="B21" s="29">
        <f>311500+547785+352220+615000</f>
        <v>1826505</v>
      </c>
      <c r="C21" s="30">
        <v>4</v>
      </c>
      <c r="D21" s="30">
        <v>4</v>
      </c>
      <c r="E21" s="29">
        <f>B21</f>
        <v>1826505</v>
      </c>
      <c r="F21" s="47"/>
      <c r="G21" s="47"/>
      <c r="H21" s="47"/>
      <c r="I21" s="48"/>
      <c r="J21" s="51"/>
      <c r="K21" s="52"/>
      <c r="L21" s="28" t="s">
        <v>50</v>
      </c>
      <c r="M21" s="49"/>
      <c r="N21" s="49"/>
      <c r="O21" s="53"/>
      <c r="P21" s="50"/>
      <c r="Q21" s="50"/>
      <c r="R21" s="53"/>
      <c r="S21" s="53"/>
    </row>
    <row r="22" spans="1:19" ht="12.75">
      <c r="A22" s="28" t="s">
        <v>51</v>
      </c>
      <c r="B22" s="29">
        <f>705889+1090315+270000+1330000</f>
        <v>3396204</v>
      </c>
      <c r="C22" s="30">
        <v>3</v>
      </c>
      <c r="D22" s="30">
        <v>3</v>
      </c>
      <c r="E22" s="29">
        <f>B22</f>
        <v>3396204</v>
      </c>
      <c r="F22" s="54"/>
      <c r="G22" s="54"/>
      <c r="H22" s="54"/>
      <c r="I22" s="55"/>
      <c r="J22" s="51"/>
      <c r="K22" s="52"/>
      <c r="L22" s="28" t="s">
        <v>51</v>
      </c>
      <c r="M22" s="26"/>
      <c r="N22" s="26"/>
      <c r="O22" s="27"/>
      <c r="P22" s="54"/>
      <c r="Q22" s="54"/>
      <c r="R22" s="27"/>
      <c r="S22" s="27"/>
    </row>
    <row r="23" spans="1:19" ht="12.75">
      <c r="A23" s="28" t="s">
        <v>52</v>
      </c>
      <c r="B23" s="29"/>
      <c r="C23" s="30"/>
      <c r="D23" s="30"/>
      <c r="E23" s="29"/>
      <c r="F23" s="54"/>
      <c r="G23" s="54"/>
      <c r="H23" s="54"/>
      <c r="I23" s="55"/>
      <c r="J23" s="30"/>
      <c r="K23" s="31"/>
      <c r="L23" s="28" t="s">
        <v>52</v>
      </c>
      <c r="M23" s="26"/>
      <c r="N23" s="26"/>
      <c r="O23" s="27"/>
      <c r="P23" s="54"/>
      <c r="Q23" s="54"/>
      <c r="R23" s="27"/>
      <c r="S23" s="27"/>
    </row>
    <row r="24" spans="1:19" ht="12.75">
      <c r="A24" s="28" t="s">
        <v>53</v>
      </c>
      <c r="B24" s="29">
        <v>6975776.26</v>
      </c>
      <c r="C24" s="30">
        <v>5</v>
      </c>
      <c r="D24" s="30">
        <v>5</v>
      </c>
      <c r="E24" s="29">
        <f>2189834.64+493621.43+294376+999835.2+590855.14</f>
        <v>4568522.41</v>
      </c>
      <c r="F24" s="54"/>
      <c r="G24" s="54"/>
      <c r="H24" s="54"/>
      <c r="I24" s="55"/>
      <c r="J24" s="51"/>
      <c r="K24" s="52"/>
      <c r="L24" s="28" t="s">
        <v>53</v>
      </c>
      <c r="M24" s="26"/>
      <c r="N24" s="26"/>
      <c r="O24" s="27"/>
      <c r="P24" s="54"/>
      <c r="Q24" s="54"/>
      <c r="R24" s="27"/>
      <c r="S24" s="27"/>
    </row>
    <row r="25" spans="1:19" ht="12.75">
      <c r="A25" s="28" t="s">
        <v>54</v>
      </c>
      <c r="B25" s="29">
        <f>8435284+5000000</f>
        <v>13435284</v>
      </c>
      <c r="C25" s="30">
        <v>5</v>
      </c>
      <c r="D25" s="30">
        <v>5</v>
      </c>
      <c r="E25" s="29">
        <f>8435284+4999900</f>
        <v>13435184</v>
      </c>
      <c r="F25" s="54"/>
      <c r="G25" s="54"/>
      <c r="H25" s="54"/>
      <c r="I25" s="55"/>
      <c r="J25" s="30">
        <v>6</v>
      </c>
      <c r="K25" s="31">
        <v>4</v>
      </c>
      <c r="L25" s="28" t="s">
        <v>54</v>
      </c>
      <c r="M25" s="26"/>
      <c r="N25" s="26"/>
      <c r="O25" s="27"/>
      <c r="P25" s="54"/>
      <c r="Q25" s="54"/>
      <c r="R25" s="27"/>
      <c r="S25" s="27"/>
    </row>
    <row r="26" spans="1:19" ht="12.75">
      <c r="A26" s="28" t="s">
        <v>55</v>
      </c>
      <c r="B26" s="29">
        <f>13660511+11576970</f>
        <v>25237481</v>
      </c>
      <c r="C26" s="30">
        <f>57+23</f>
        <v>80</v>
      </c>
      <c r="D26" s="30">
        <f>43+23</f>
        <v>66</v>
      </c>
      <c r="E26" s="29">
        <f>12913344.36+9383476</f>
        <v>22296820.36</v>
      </c>
      <c r="F26" s="54"/>
      <c r="G26" s="54"/>
      <c r="H26" s="54"/>
      <c r="I26" s="55"/>
      <c r="J26" s="30">
        <f>57+23</f>
        <v>80</v>
      </c>
      <c r="K26" s="31">
        <f>43+23</f>
        <v>66</v>
      </c>
      <c r="L26" s="28" t="s">
        <v>55</v>
      </c>
      <c r="M26" s="26"/>
      <c r="N26" s="26"/>
      <c r="O26" s="27"/>
      <c r="P26" s="54"/>
      <c r="Q26" s="54"/>
      <c r="R26" s="27"/>
      <c r="S26" s="27"/>
    </row>
    <row r="27" spans="1:19" ht="12.75">
      <c r="A27" s="28" t="s">
        <v>56</v>
      </c>
      <c r="B27" s="29"/>
      <c r="C27" s="30"/>
      <c r="D27" s="30"/>
      <c r="E27" s="29"/>
      <c r="F27" s="47"/>
      <c r="G27" s="47"/>
      <c r="H27" s="47"/>
      <c r="I27" s="48"/>
      <c r="J27" s="51"/>
      <c r="K27" s="52"/>
      <c r="L27" s="28" t="s">
        <v>56</v>
      </c>
      <c r="M27" s="49"/>
      <c r="N27" s="49"/>
      <c r="O27" s="53"/>
      <c r="P27" s="50"/>
      <c r="Q27" s="50"/>
      <c r="R27" s="53"/>
      <c r="S27" s="53"/>
    </row>
    <row r="28" spans="1:19" ht="12.75">
      <c r="A28" s="56" t="s">
        <v>45</v>
      </c>
      <c r="B28" s="35">
        <f>SUM(B19:B27)</f>
        <v>57260682.14</v>
      </c>
      <c r="C28" s="36">
        <f>SUM(C19:C27)</f>
        <v>603</v>
      </c>
      <c r="D28" s="36">
        <f>SUM(D19:D27)</f>
        <v>457</v>
      </c>
      <c r="E28" s="35">
        <f>SUM(E19:E27)</f>
        <v>51913186.129999995</v>
      </c>
      <c r="F28" s="47"/>
      <c r="G28" s="47"/>
      <c r="H28" s="47"/>
      <c r="I28" s="47"/>
      <c r="J28" s="36">
        <f>SUM(J19:J27)</f>
        <v>87</v>
      </c>
      <c r="K28" s="37">
        <f>SUM(K19:K27)</f>
        <v>71</v>
      </c>
      <c r="L28" s="56" t="s">
        <v>45</v>
      </c>
      <c r="M28" s="49"/>
      <c r="N28" s="49"/>
      <c r="O28" s="49"/>
      <c r="P28" s="49"/>
      <c r="Q28" s="49"/>
      <c r="R28" s="49"/>
      <c r="S28" s="49"/>
    </row>
    <row r="29" spans="1:19" ht="12.75">
      <c r="A29" s="22" t="s">
        <v>57</v>
      </c>
      <c r="B29" s="41"/>
      <c r="C29" s="57"/>
      <c r="D29" s="57"/>
      <c r="E29" s="41"/>
      <c r="F29" s="54"/>
      <c r="G29" s="54"/>
      <c r="H29" s="54"/>
      <c r="I29" s="54"/>
      <c r="J29" s="54"/>
      <c r="K29" s="55"/>
      <c r="L29" s="22" t="s">
        <v>57</v>
      </c>
      <c r="M29" s="26"/>
      <c r="N29" s="26"/>
      <c r="O29" s="27"/>
      <c r="P29" s="54"/>
      <c r="Q29" s="54"/>
      <c r="R29" s="27"/>
      <c r="S29" s="27"/>
    </row>
    <row r="30" spans="1:19" ht="12.75">
      <c r="A30" s="28" t="s">
        <v>58</v>
      </c>
      <c r="B30" s="29"/>
      <c r="C30" s="30"/>
      <c r="D30" s="30"/>
      <c r="E30" s="29"/>
      <c r="F30" s="54"/>
      <c r="G30" s="58"/>
      <c r="H30" s="58"/>
      <c r="I30" s="58"/>
      <c r="J30" s="54"/>
      <c r="K30" s="55"/>
      <c r="L30" s="28" t="s">
        <v>58</v>
      </c>
      <c r="M30" s="26"/>
      <c r="N30" s="26"/>
      <c r="O30" s="27"/>
      <c r="P30" s="54"/>
      <c r="Q30" s="54"/>
      <c r="R30" s="27"/>
      <c r="S30" s="27"/>
    </row>
    <row r="31" spans="1:19" ht="12.75">
      <c r="A31" s="28" t="s">
        <v>59</v>
      </c>
      <c r="B31" s="29"/>
      <c r="C31" s="30"/>
      <c r="D31" s="30"/>
      <c r="E31" s="29"/>
      <c r="F31" s="54"/>
      <c r="G31" s="58"/>
      <c r="H31" s="58"/>
      <c r="I31" s="58"/>
      <c r="J31" s="54"/>
      <c r="K31" s="55"/>
      <c r="L31" s="28" t="s">
        <v>59</v>
      </c>
      <c r="M31" s="26"/>
      <c r="N31" s="26"/>
      <c r="O31" s="27"/>
      <c r="P31" s="54"/>
      <c r="Q31" s="54"/>
      <c r="R31" s="27"/>
      <c r="S31" s="27"/>
    </row>
    <row r="32" spans="1:19" ht="12.75">
      <c r="A32" s="56" t="s">
        <v>45</v>
      </c>
      <c r="B32" s="35">
        <f>SUM(B30:B31)</f>
        <v>0</v>
      </c>
      <c r="C32" s="36">
        <f>SUM(C30:C31)</f>
        <v>0</v>
      </c>
      <c r="D32" s="36">
        <f>SUM(D30:D31)</f>
        <v>0</v>
      </c>
      <c r="E32" s="35">
        <f>SUM(E30:E31)</f>
        <v>0</v>
      </c>
      <c r="F32" s="54"/>
      <c r="G32" s="54"/>
      <c r="H32" s="54"/>
      <c r="I32" s="54"/>
      <c r="J32" s="54"/>
      <c r="K32" s="55"/>
      <c r="L32" s="56" t="s">
        <v>45</v>
      </c>
      <c r="M32" s="26"/>
      <c r="N32" s="26"/>
      <c r="O32" s="27"/>
      <c r="P32" s="54"/>
      <c r="Q32" s="54"/>
      <c r="R32" s="27"/>
      <c r="S32" s="27"/>
    </row>
    <row r="33" spans="1:19" ht="12.75">
      <c r="A33" s="22" t="s">
        <v>60</v>
      </c>
      <c r="B33" s="29"/>
      <c r="C33" s="30"/>
      <c r="D33" s="30"/>
      <c r="E33" s="29"/>
      <c r="F33" s="24"/>
      <c r="G33" s="24"/>
      <c r="H33" s="24"/>
      <c r="I33" s="24"/>
      <c r="J33" s="24"/>
      <c r="K33" s="26"/>
      <c r="L33" s="22" t="s">
        <v>60</v>
      </c>
      <c r="M33" s="26"/>
      <c r="N33" s="26"/>
      <c r="O33" s="27"/>
      <c r="P33" s="54"/>
      <c r="Q33" s="54"/>
      <c r="R33" s="27"/>
      <c r="S33" s="27"/>
    </row>
    <row r="34" spans="1:19" ht="12.75">
      <c r="A34" s="59" t="s">
        <v>61</v>
      </c>
      <c r="B34" s="60">
        <f>B17+B28+B32+B33</f>
        <v>313465827.14</v>
      </c>
      <c r="C34" s="36">
        <f>C17+C28+C32+C33</f>
        <v>650</v>
      </c>
      <c r="D34" s="36">
        <f>D17+D28+D32+D33</f>
        <v>500</v>
      </c>
      <c r="E34" s="60">
        <f>E17+E28+E32+E33</f>
        <v>266887620.89000002</v>
      </c>
      <c r="F34" s="24"/>
      <c r="G34" s="24"/>
      <c r="H34" s="24"/>
      <c r="I34" s="24"/>
      <c r="J34" s="61"/>
      <c r="K34" s="62"/>
      <c r="L34" s="59" t="s">
        <v>61</v>
      </c>
      <c r="M34" s="62"/>
      <c r="N34" s="62"/>
      <c r="O34" s="63"/>
      <c r="P34" s="64"/>
      <c r="Q34" s="64"/>
      <c r="R34" s="63"/>
      <c r="S34" s="63"/>
    </row>
    <row r="35" spans="1:14" s="4" customFormat="1" ht="12.75">
      <c r="A35" s="65"/>
      <c r="B35" s="65"/>
      <c r="C35" s="65"/>
      <c r="D35" s="65"/>
      <c r="E35" s="66"/>
      <c r="F35" s="65"/>
      <c r="G35" s="65"/>
      <c r="H35" s="65"/>
      <c r="I35" s="65"/>
      <c r="J35" s="65"/>
      <c r="K35" s="65"/>
      <c r="L35" s="65"/>
      <c r="M35" s="65"/>
      <c r="N35" s="65"/>
    </row>
    <row r="36" spans="1:14" s="4" customFormat="1" ht="15">
      <c r="A36" s="67" t="s">
        <v>62</v>
      </c>
      <c r="B36" s="67"/>
      <c r="C36" s="68"/>
      <c r="D36" s="68"/>
      <c r="E36" s="69"/>
      <c r="F36" s="67"/>
      <c r="G36" s="67"/>
      <c r="H36" s="67"/>
      <c r="I36" s="68"/>
      <c r="J36" s="68"/>
      <c r="K36" s="68"/>
      <c r="L36" s="67" t="s">
        <v>62</v>
      </c>
      <c r="M36" s="68"/>
      <c r="N36" s="68"/>
    </row>
    <row r="37" spans="1:20" s="4" customFormat="1" ht="15.75">
      <c r="A37" s="67" t="s">
        <v>63</v>
      </c>
      <c r="B37" s="68"/>
      <c r="C37" s="68"/>
      <c r="D37" s="68"/>
      <c r="E37" s="70"/>
      <c r="F37" s="68"/>
      <c r="G37" s="68"/>
      <c r="H37" s="68"/>
      <c r="I37" s="68"/>
      <c r="J37" s="68"/>
      <c r="K37" s="71"/>
      <c r="L37" s="67" t="s">
        <v>63</v>
      </c>
      <c r="M37" s="68"/>
      <c r="N37" s="68"/>
      <c r="O37" s="68"/>
      <c r="P37" s="68"/>
      <c r="Q37" s="68"/>
      <c r="R37" s="68"/>
      <c r="S37" s="68"/>
      <c r="T37" s="71"/>
    </row>
    <row r="38" spans="1:20" ht="15">
      <c r="A38" s="72"/>
      <c r="B38" s="73"/>
      <c r="C38" s="74"/>
      <c r="D38" s="73"/>
      <c r="E38" s="75"/>
      <c r="F38" s="308"/>
      <c r="G38" s="308"/>
      <c r="H38" s="308"/>
      <c r="I38" s="308"/>
      <c r="J38" s="308"/>
      <c r="K38" s="308"/>
      <c r="Q38" s="76"/>
      <c r="R38" s="76"/>
      <c r="S38" s="76"/>
      <c r="T38" s="76"/>
    </row>
    <row r="39" spans="1:20" ht="15.75">
      <c r="A39" s="72"/>
      <c r="B39" s="73"/>
      <c r="C39" s="72"/>
      <c r="D39" s="73"/>
      <c r="E39" s="77"/>
      <c r="F39" s="72"/>
      <c r="G39" s="72"/>
      <c r="H39" s="72"/>
      <c r="I39" s="72"/>
      <c r="J39" s="73"/>
      <c r="K39" s="78"/>
      <c r="L39" s="292" t="s">
        <v>413</v>
      </c>
      <c r="M39" s="73"/>
      <c r="N39" s="293" t="s">
        <v>413</v>
      </c>
      <c r="P39" s="76"/>
      <c r="Q39" s="294" t="s">
        <v>419</v>
      </c>
      <c r="R39" s="72"/>
      <c r="S39" s="73"/>
      <c r="T39" s="78"/>
    </row>
    <row r="40" spans="12:17" ht="15">
      <c r="L40" s="72" t="s">
        <v>416</v>
      </c>
      <c r="M40" s="73"/>
      <c r="N40" s="72" t="s">
        <v>417</v>
      </c>
      <c r="P40" s="72"/>
      <c r="Q40" s="72" t="s">
        <v>418</v>
      </c>
    </row>
    <row r="41" ht="12.75">
      <c r="K41" s="4">
        <f>(K19+K23+K25+K26)/(D19+D23+D25+D26)</f>
        <v>0.9861111111111112</v>
      </c>
    </row>
  </sheetData>
  <sheetProtection password="D52D" sheet="1" formatCells="0" selectLockedCells="1"/>
  <mergeCells count="11">
    <mergeCell ref="A4:K4"/>
    <mergeCell ref="L4:S4"/>
    <mergeCell ref="A6:B6"/>
    <mergeCell ref="L6:M6"/>
    <mergeCell ref="F38:K38"/>
    <mergeCell ref="A1:K1"/>
    <mergeCell ref="L1:S1"/>
    <mergeCell ref="A2:K2"/>
    <mergeCell ref="L2:S2"/>
    <mergeCell ref="A3:K3"/>
    <mergeCell ref="L3:S3"/>
  </mergeCells>
  <printOptions horizontalCentered="1"/>
  <pageMargins left="0.25" right="0.25" top="0.75" bottom="0.5" header="0.5118055555555555" footer="0.3"/>
  <pageSetup horizontalDpi="600" verticalDpi="600" orientation="landscape" paperSize="14" scale="70" r:id="rId2"/>
  <headerFooter alignWithMargins="0">
    <oddFooter>&amp;C&amp;"Calibri,Regular"&amp;11&amp;P</oddFooter>
  </headerFooter>
  <drawing r:id="rId1"/>
</worksheet>
</file>

<file path=xl/worksheets/sheet2.xml><?xml version="1.0" encoding="utf-8"?>
<worksheet xmlns="http://schemas.openxmlformats.org/spreadsheetml/2006/main" xmlns:r="http://schemas.openxmlformats.org/officeDocument/2006/relationships">
  <dimension ref="B1:C21"/>
  <sheetViews>
    <sheetView zoomScale="115" zoomScaleNormal="115" zoomScalePageLayoutView="0" workbookViewId="0" topLeftCell="A1">
      <selection activeCell="G20" sqref="G20"/>
    </sheetView>
  </sheetViews>
  <sheetFormatPr defaultColWidth="9.140625" defaultRowHeight="12.75"/>
  <cols>
    <col min="1" max="1" width="9.140625" style="79" customWidth="1"/>
    <col min="2" max="2" width="16.7109375" style="79" customWidth="1"/>
    <col min="3" max="3" width="12.8515625" style="79" customWidth="1"/>
    <col min="4" max="16384" width="9.140625" style="79" customWidth="1"/>
  </cols>
  <sheetData>
    <row r="1" ht="15">
      <c r="C1" s="80" t="s">
        <v>64</v>
      </c>
    </row>
    <row r="2" spans="2:3" ht="15">
      <c r="B2" s="80" t="s">
        <v>65</v>
      </c>
      <c r="C2" s="81">
        <f>((CPMR!E17+CPMR!E30)/CPMR!E34)</f>
        <v>0.8054867215014201</v>
      </c>
    </row>
    <row r="3" spans="2:3" ht="15">
      <c r="B3" s="80" t="s">
        <v>66</v>
      </c>
      <c r="C3" s="81">
        <f>(CPMR!D17+CPMR!D30)/(CPMR!D34)</f>
        <v>0.086</v>
      </c>
    </row>
    <row r="4" spans="2:3" ht="15">
      <c r="B4" s="80" t="s">
        <v>67</v>
      </c>
      <c r="C4" s="81">
        <f>(CPMR!E19+CPMR!E20)/CPMR!E34</f>
        <v>0.023942475633344087</v>
      </c>
    </row>
    <row r="5" spans="2:3" ht="15">
      <c r="B5" s="80" t="s">
        <v>68</v>
      </c>
      <c r="C5" s="81">
        <f>(CPMR!E24+CPMR!E25+CPMR!E26+CPMR!E27)/CPMR!E34</f>
        <v>0.15100185851860923</v>
      </c>
    </row>
    <row r="6" spans="2:3" ht="15">
      <c r="B6" s="80" t="s">
        <v>69</v>
      </c>
      <c r="C6" s="81">
        <f>CPMR!E21/CPMR!E34</f>
        <v>0.006843723189217567</v>
      </c>
    </row>
    <row r="7" spans="2:3" ht="15">
      <c r="B7" s="80" t="s">
        <v>70</v>
      </c>
      <c r="C7" s="81">
        <f>CPMR!E22/CPMR!E34</f>
        <v>0.012725221157409074</v>
      </c>
    </row>
    <row r="8" spans="2:3" ht="15">
      <c r="B8" s="80" t="s">
        <v>71</v>
      </c>
      <c r="C8" s="81">
        <f>CPMR!E23/CPMR!E34</f>
        <v>0</v>
      </c>
    </row>
    <row r="9" spans="2:3" ht="15">
      <c r="B9" s="80" t="s">
        <v>72</v>
      </c>
      <c r="C9" s="82">
        <f>CPMR!G17/CPMR!C17</f>
        <v>1.4893617021276595</v>
      </c>
    </row>
    <row r="10" spans="2:3" ht="15">
      <c r="B10" s="80" t="s">
        <v>73</v>
      </c>
      <c r="C10" s="82">
        <f>CPMR!H17/CPMR!C17</f>
        <v>1.3404255319148937</v>
      </c>
    </row>
    <row r="11" spans="2:3" ht="15">
      <c r="B11" s="80" t="s">
        <v>74</v>
      </c>
      <c r="C11" s="82">
        <f>CPMR!I17/CPMR!C17</f>
        <v>1.1702127659574468</v>
      </c>
    </row>
    <row r="12" spans="2:3" ht="15">
      <c r="B12" s="80" t="s">
        <v>75</v>
      </c>
      <c r="C12" s="81">
        <f>(CPMR!J17+CPMR!J19+CPMR!J25+CPMR!J26)/(CPMR!C17+CPMR!C19+CPMR!C25+CPMR!C26)</f>
        <v>1.0150375939849625</v>
      </c>
    </row>
    <row r="13" spans="2:3" ht="15">
      <c r="B13" s="80" t="s">
        <v>76</v>
      </c>
      <c r="C13" s="81">
        <f>CPMR!K17/CPMR!D17</f>
        <v>1.0232558139534884</v>
      </c>
    </row>
    <row r="14" spans="2:3" ht="15">
      <c r="B14" s="80" t="s">
        <v>77</v>
      </c>
      <c r="C14" s="81">
        <f>CPMR!K28/CPMR!D28</f>
        <v>0.15536105032822758</v>
      </c>
    </row>
    <row r="15" spans="2:3" ht="15">
      <c r="B15" s="80" t="s">
        <v>78</v>
      </c>
      <c r="C15" s="81">
        <f>CPMR!E34/CPMR!B34</f>
        <v>0.8514089823603093</v>
      </c>
    </row>
    <row r="16" spans="2:3" ht="15">
      <c r="B16" s="80" t="s">
        <v>79</v>
      </c>
      <c r="C16" s="81">
        <f>CPMR!D17/CPMR!C17</f>
        <v>0.9148936170212766</v>
      </c>
    </row>
    <row r="17" spans="2:3" ht="15">
      <c r="B17" s="80" t="s">
        <v>80</v>
      </c>
      <c r="C17" s="81">
        <f>CPMR!F17/CPMR!C17</f>
        <v>0.02127659574468085</v>
      </c>
    </row>
    <row r="18" spans="2:3" ht="15">
      <c r="B18" s="80" t="s">
        <v>81</v>
      </c>
      <c r="C18" s="81">
        <f>CPMR!S14/CPMR!D14</f>
        <v>1</v>
      </c>
    </row>
    <row r="19" spans="2:3" ht="15">
      <c r="B19" s="80" t="s">
        <v>82</v>
      </c>
      <c r="C19" s="81">
        <f>CPMR!S15/CPMR!D15</f>
        <v>1.0769230769230769</v>
      </c>
    </row>
    <row r="20" spans="2:3" ht="15">
      <c r="B20" s="80" t="s">
        <v>83</v>
      </c>
      <c r="C20" s="81">
        <f>CPMR!S16/CPMR!D16</f>
        <v>1</v>
      </c>
    </row>
    <row r="21" spans="2:3" ht="15">
      <c r="B21" s="80" t="s">
        <v>84</v>
      </c>
      <c r="C21" s="81">
        <f>CPMR!P17/CPMR!D17</f>
        <v>1.0232558139534884</v>
      </c>
    </row>
  </sheetData>
  <sheetProtection sheet="1"/>
  <printOptions/>
  <pageMargins left="0.7" right="0.7" top="0.75" bottom="0.75" header="0.5118055555555555" footer="0.5118055555555555"/>
  <pageSetup horizontalDpi="300" verticalDpi="300" orientation="portrait" paperSize="14" r:id="rId1"/>
</worksheet>
</file>

<file path=xl/worksheets/sheet3.xml><?xml version="1.0" encoding="utf-8"?>
<worksheet xmlns="http://schemas.openxmlformats.org/spreadsheetml/2006/main" xmlns:r="http://schemas.openxmlformats.org/officeDocument/2006/relationships">
  <dimension ref="A1:L102"/>
  <sheetViews>
    <sheetView zoomScale="85" zoomScaleNormal="85" zoomScalePageLayoutView="0" workbookViewId="0" topLeftCell="A61">
      <selection activeCell="E45" sqref="E45"/>
    </sheetView>
  </sheetViews>
  <sheetFormatPr defaultColWidth="9.140625" defaultRowHeight="12.75"/>
  <cols>
    <col min="1" max="1" width="5.00390625" style="83" customWidth="1"/>
    <col min="2" max="2" width="69.7109375" style="84" customWidth="1"/>
    <col min="3" max="3" width="23.8515625" style="84" customWidth="1"/>
    <col min="4" max="4" width="0" style="83" hidden="1" customWidth="1"/>
    <col min="5" max="5" width="23.8515625" style="85" customWidth="1"/>
    <col min="6" max="6" width="0" style="83" hidden="1" customWidth="1"/>
    <col min="7" max="7" width="23.8515625" style="84" customWidth="1"/>
    <col min="8" max="8" width="0" style="83" hidden="1" customWidth="1"/>
    <col min="9" max="9" width="23.8515625" style="86" customWidth="1"/>
    <col min="10" max="10" width="0" style="83" hidden="1" customWidth="1"/>
    <col min="11" max="11" width="10.421875" style="87" customWidth="1"/>
    <col min="12" max="12" width="0" style="83" hidden="1" customWidth="1"/>
    <col min="13" max="16384" width="9.140625" style="83" customWidth="1"/>
  </cols>
  <sheetData>
    <row r="1" spans="1:11" ht="15">
      <c r="A1" s="227" t="s">
        <v>85</v>
      </c>
      <c r="B1" s="226"/>
      <c r="C1" s="226"/>
      <c r="D1" s="227"/>
      <c r="E1" s="228"/>
      <c r="F1" s="227"/>
      <c r="G1" s="226"/>
      <c r="H1" s="227"/>
      <c r="I1" s="226"/>
      <c r="J1" s="227"/>
      <c r="K1" s="229"/>
    </row>
    <row r="2" spans="1:12" ht="21">
      <c r="A2" s="231" t="s">
        <v>86</v>
      </c>
      <c r="B2" s="230"/>
      <c r="C2" s="230"/>
      <c r="D2" s="231"/>
      <c r="E2" s="232"/>
      <c r="F2" s="231"/>
      <c r="G2" s="230"/>
      <c r="H2" s="231"/>
      <c r="I2" s="230"/>
      <c r="J2" s="231"/>
      <c r="K2" s="231"/>
      <c r="L2" s="280"/>
    </row>
    <row r="3" spans="1:12" s="88" customFormat="1" ht="12.75">
      <c r="A3" s="236"/>
      <c r="B3" s="233"/>
      <c r="C3" s="233"/>
      <c r="D3" s="234"/>
      <c r="E3" s="235"/>
      <c r="F3" s="236"/>
      <c r="G3" s="237"/>
      <c r="H3" s="236"/>
      <c r="I3" s="233"/>
      <c r="J3" s="234"/>
      <c r="K3" s="238"/>
      <c r="L3" s="141"/>
    </row>
    <row r="4" spans="1:11" ht="51">
      <c r="A4" s="282" t="s">
        <v>87</v>
      </c>
      <c r="B4" s="282" t="s">
        <v>88</v>
      </c>
      <c r="C4" s="239" t="s">
        <v>89</v>
      </c>
      <c r="D4" s="239" t="s">
        <v>89</v>
      </c>
      <c r="E4" s="240" t="s">
        <v>90</v>
      </c>
      <c r="F4" s="240" t="s">
        <v>90</v>
      </c>
      <c r="G4" s="241" t="s">
        <v>91</v>
      </c>
      <c r="H4" s="241" t="s">
        <v>91</v>
      </c>
      <c r="I4" s="242" t="s">
        <v>92</v>
      </c>
      <c r="J4" s="242" t="s">
        <v>93</v>
      </c>
      <c r="K4" s="229"/>
    </row>
    <row r="5" spans="1:12" ht="12.75">
      <c r="A5" s="151"/>
      <c r="B5" s="283"/>
      <c r="C5" s="239">
        <v>0</v>
      </c>
      <c r="D5" s="243">
        <v>0</v>
      </c>
      <c r="E5" s="240">
        <v>1</v>
      </c>
      <c r="F5" s="244">
        <v>1</v>
      </c>
      <c r="G5" s="241">
        <v>2</v>
      </c>
      <c r="H5" s="245">
        <v>2</v>
      </c>
      <c r="I5" s="242">
        <v>3</v>
      </c>
      <c r="J5" s="246">
        <v>3</v>
      </c>
      <c r="K5" s="229"/>
      <c r="L5" s="281" t="s">
        <v>94</v>
      </c>
    </row>
    <row r="6" spans="1:12" s="88" customFormat="1" ht="12.75">
      <c r="A6" s="152" t="s">
        <v>95</v>
      </c>
      <c r="B6" s="153"/>
      <c r="C6" s="153"/>
      <c r="D6" s="247"/>
      <c r="E6" s="248"/>
      <c r="F6" s="247"/>
      <c r="G6" s="153"/>
      <c r="H6" s="247"/>
      <c r="I6" s="153"/>
      <c r="J6" s="249"/>
      <c r="K6" s="131"/>
      <c r="L6" s="281" t="s">
        <v>96</v>
      </c>
    </row>
    <row r="7" spans="1:12" ht="12.75">
      <c r="A7" s="156" t="s">
        <v>97</v>
      </c>
      <c r="B7" s="157"/>
      <c r="C7" s="157"/>
      <c r="D7" s="250"/>
      <c r="E7" s="251"/>
      <c r="F7" s="250"/>
      <c r="G7" s="157"/>
      <c r="H7" s="250"/>
      <c r="I7" s="157"/>
      <c r="J7" s="252"/>
      <c r="K7" s="229"/>
      <c r="L7" s="281" t="s">
        <v>98</v>
      </c>
    </row>
    <row r="8" spans="1:11" ht="12.75">
      <c r="A8" s="159">
        <v>1</v>
      </c>
      <c r="B8" s="160" t="s">
        <v>99</v>
      </c>
      <c r="C8" s="253"/>
      <c r="D8" s="254" t="s">
        <v>100</v>
      </c>
      <c r="E8" s="255">
        <v>0.7</v>
      </c>
      <c r="F8" s="254" t="s">
        <v>101</v>
      </c>
      <c r="G8" s="255">
        <v>0.81</v>
      </c>
      <c r="H8" s="254" t="s">
        <v>102</v>
      </c>
      <c r="I8" s="255">
        <v>0.91</v>
      </c>
      <c r="J8" s="254" t="s">
        <v>103</v>
      </c>
      <c r="K8" s="229"/>
    </row>
    <row r="9" spans="1:12" ht="12.75">
      <c r="A9" s="159">
        <v>2</v>
      </c>
      <c r="B9" s="160" t="s">
        <v>342</v>
      </c>
      <c r="C9" s="256"/>
      <c r="D9" s="257" t="s">
        <v>104</v>
      </c>
      <c r="E9" s="255">
        <v>0.2</v>
      </c>
      <c r="F9" s="254" t="s">
        <v>105</v>
      </c>
      <c r="G9" s="255">
        <v>0.4</v>
      </c>
      <c r="H9" s="254" t="s">
        <v>106</v>
      </c>
      <c r="I9" s="255">
        <v>0.5</v>
      </c>
      <c r="J9" s="254" t="s">
        <v>107</v>
      </c>
      <c r="K9" s="229"/>
      <c r="L9" s="281" t="s">
        <v>94</v>
      </c>
    </row>
    <row r="10" spans="1:12" ht="12.75">
      <c r="A10" s="164"/>
      <c r="B10" s="177"/>
      <c r="C10" s="258"/>
      <c r="D10" s="259"/>
      <c r="E10" s="260"/>
      <c r="F10" s="261"/>
      <c r="G10" s="260"/>
      <c r="H10" s="261"/>
      <c r="I10" s="260"/>
      <c r="J10" s="262"/>
      <c r="K10" s="229"/>
      <c r="L10" s="281" t="s">
        <v>108</v>
      </c>
    </row>
    <row r="11" spans="1:12" ht="12.75">
      <c r="A11" s="156" t="s">
        <v>109</v>
      </c>
      <c r="B11" s="157"/>
      <c r="C11" s="157"/>
      <c r="D11" s="250"/>
      <c r="E11" s="251"/>
      <c r="F11" s="250"/>
      <c r="G11" s="157"/>
      <c r="H11" s="250"/>
      <c r="I11" s="157"/>
      <c r="J11" s="252"/>
      <c r="K11" s="229"/>
      <c r="L11" s="281" t="s">
        <v>110</v>
      </c>
    </row>
    <row r="12" spans="1:12" ht="12.75">
      <c r="A12" s="159">
        <v>3</v>
      </c>
      <c r="B12" s="160" t="s">
        <v>111</v>
      </c>
      <c r="C12" s="255"/>
      <c r="D12" s="263" t="s">
        <v>112</v>
      </c>
      <c r="E12" s="255">
        <v>0.06</v>
      </c>
      <c r="F12" s="159" t="s">
        <v>113</v>
      </c>
      <c r="G12" s="255">
        <v>0.05</v>
      </c>
      <c r="H12" s="159" t="s">
        <v>114</v>
      </c>
      <c r="I12" s="255">
        <v>0.03</v>
      </c>
      <c r="J12" s="159" t="s">
        <v>115</v>
      </c>
      <c r="K12" s="229"/>
      <c r="L12" s="281" t="s">
        <v>116</v>
      </c>
    </row>
    <row r="13" spans="1:12" ht="12.75">
      <c r="A13" s="159">
        <f>A12+1</f>
        <v>4</v>
      </c>
      <c r="B13" s="160" t="s">
        <v>117</v>
      </c>
      <c r="C13" s="255"/>
      <c r="D13" s="263" t="s">
        <v>118</v>
      </c>
      <c r="E13" s="255">
        <v>0.12</v>
      </c>
      <c r="F13" s="159" t="s">
        <v>119</v>
      </c>
      <c r="G13" s="255">
        <v>0.08</v>
      </c>
      <c r="H13" s="159" t="s">
        <v>120</v>
      </c>
      <c r="I13" s="255">
        <v>0.03</v>
      </c>
      <c r="J13" s="159" t="s">
        <v>115</v>
      </c>
      <c r="K13" s="229"/>
      <c r="L13" s="281" t="s">
        <v>98</v>
      </c>
    </row>
    <row r="14" spans="1:11" ht="12.75">
      <c r="A14" s="159">
        <f>A13+1</f>
        <v>5</v>
      </c>
      <c r="B14" s="160" t="s">
        <v>121</v>
      </c>
      <c r="C14" s="255"/>
      <c r="D14" s="264" t="s">
        <v>122</v>
      </c>
      <c r="E14" s="255">
        <v>0.04</v>
      </c>
      <c r="F14" s="159" t="s">
        <v>123</v>
      </c>
      <c r="G14" s="255">
        <v>0.03</v>
      </c>
      <c r="H14" s="159" t="s">
        <v>124</v>
      </c>
      <c r="I14" s="255">
        <v>0.01</v>
      </c>
      <c r="J14" s="159" t="s">
        <v>125</v>
      </c>
      <c r="K14" s="229"/>
    </row>
    <row r="15" spans="1:12" ht="12.75">
      <c r="A15" s="159">
        <f>A14+1</f>
        <v>6</v>
      </c>
      <c r="B15" s="160" t="s">
        <v>126</v>
      </c>
      <c r="C15" s="255"/>
      <c r="D15" s="264" t="s">
        <v>122</v>
      </c>
      <c r="E15" s="255">
        <v>0.04</v>
      </c>
      <c r="F15" s="159" t="s">
        <v>123</v>
      </c>
      <c r="G15" s="255">
        <v>0.03</v>
      </c>
      <c r="H15" s="159" t="s">
        <v>124</v>
      </c>
      <c r="I15" s="255">
        <v>0.01</v>
      </c>
      <c r="J15" s="159" t="s">
        <v>125</v>
      </c>
      <c r="K15" s="229"/>
      <c r="L15" s="281" t="s">
        <v>127</v>
      </c>
    </row>
    <row r="16" spans="1:12" ht="12.75">
      <c r="A16" s="159">
        <f>A15+1</f>
        <v>7</v>
      </c>
      <c r="B16" s="160" t="s">
        <v>128</v>
      </c>
      <c r="C16" s="255"/>
      <c r="D16" s="264" t="s">
        <v>122</v>
      </c>
      <c r="E16" s="255">
        <v>0.04</v>
      </c>
      <c r="F16" s="159" t="s">
        <v>123</v>
      </c>
      <c r="G16" s="255">
        <v>0.03</v>
      </c>
      <c r="H16" s="159" t="s">
        <v>124</v>
      </c>
      <c r="I16" s="255">
        <v>0.01</v>
      </c>
      <c r="J16" s="159" t="s">
        <v>125</v>
      </c>
      <c r="K16" s="229"/>
      <c r="L16" s="281" t="s">
        <v>129</v>
      </c>
    </row>
    <row r="17" spans="1:12" ht="38.25">
      <c r="A17" s="159">
        <f>A16+1</f>
        <v>8</v>
      </c>
      <c r="B17" s="284" t="s">
        <v>130</v>
      </c>
      <c r="C17" s="253" t="s">
        <v>94</v>
      </c>
      <c r="D17" s="159" t="s">
        <v>94</v>
      </c>
      <c r="E17" s="253"/>
      <c r="F17" s="159"/>
      <c r="G17" s="255"/>
      <c r="H17" s="159"/>
      <c r="I17" s="253" t="s">
        <v>96</v>
      </c>
      <c r="J17" s="159" t="s">
        <v>96</v>
      </c>
      <c r="K17" s="229"/>
      <c r="L17" s="281" t="s">
        <v>131</v>
      </c>
    </row>
    <row r="18" spans="1:12" ht="12.75">
      <c r="A18" s="164"/>
      <c r="B18" s="285"/>
      <c r="C18" s="265"/>
      <c r="D18" s="266"/>
      <c r="E18" s="265"/>
      <c r="F18" s="266"/>
      <c r="G18" s="260"/>
      <c r="H18" s="266"/>
      <c r="I18" s="260"/>
      <c r="J18" s="267"/>
      <c r="K18" s="229"/>
      <c r="L18" s="290" t="s">
        <v>103</v>
      </c>
    </row>
    <row r="19" spans="1:12" ht="12.75">
      <c r="A19" s="156" t="s">
        <v>132</v>
      </c>
      <c r="B19" s="157"/>
      <c r="C19" s="157"/>
      <c r="D19" s="250"/>
      <c r="E19" s="251"/>
      <c r="F19" s="250"/>
      <c r="G19" s="157"/>
      <c r="H19" s="250"/>
      <c r="I19" s="157"/>
      <c r="J19" s="252"/>
      <c r="K19" s="229"/>
      <c r="L19" s="281" t="s">
        <v>98</v>
      </c>
    </row>
    <row r="20" spans="1:11" ht="12.75">
      <c r="A20" s="159">
        <v>9</v>
      </c>
      <c r="B20" s="169" t="s">
        <v>133</v>
      </c>
      <c r="C20" s="253"/>
      <c r="D20" s="159" t="s">
        <v>134</v>
      </c>
      <c r="E20" s="253">
        <v>3</v>
      </c>
      <c r="F20" s="268" t="s">
        <v>135</v>
      </c>
      <c r="G20" s="255">
        <v>4</v>
      </c>
      <c r="H20" s="268" t="s">
        <v>136</v>
      </c>
      <c r="I20" s="255">
        <v>6</v>
      </c>
      <c r="J20" s="268" t="s">
        <v>137</v>
      </c>
      <c r="K20" s="229"/>
    </row>
    <row r="21" spans="1:12" ht="12.75">
      <c r="A21" s="159">
        <f>A20+1</f>
        <v>10</v>
      </c>
      <c r="B21" s="169" t="s">
        <v>138</v>
      </c>
      <c r="C21" s="253"/>
      <c r="D21" s="159" t="s">
        <v>139</v>
      </c>
      <c r="E21" s="253">
        <v>2</v>
      </c>
      <c r="F21" s="268" t="s">
        <v>140</v>
      </c>
      <c r="G21" s="255">
        <v>3</v>
      </c>
      <c r="H21" s="268" t="s">
        <v>141</v>
      </c>
      <c r="I21" s="255">
        <v>5</v>
      </c>
      <c r="J21" s="268" t="s">
        <v>142</v>
      </c>
      <c r="K21" s="229"/>
      <c r="L21" s="281" t="s">
        <v>143</v>
      </c>
    </row>
    <row r="22" spans="1:12" ht="12.75">
      <c r="A22" s="159">
        <f>A21+1</f>
        <v>11</v>
      </c>
      <c r="B22" s="160" t="s">
        <v>144</v>
      </c>
      <c r="C22" s="253"/>
      <c r="D22" s="159" t="s">
        <v>145</v>
      </c>
      <c r="E22" s="253">
        <v>1</v>
      </c>
      <c r="F22" s="268" t="s">
        <v>146</v>
      </c>
      <c r="G22" s="255">
        <v>2</v>
      </c>
      <c r="H22" s="268" t="s">
        <v>140</v>
      </c>
      <c r="I22" s="255">
        <v>3</v>
      </c>
      <c r="J22" s="268" t="s">
        <v>147</v>
      </c>
      <c r="K22" s="229"/>
      <c r="L22" s="281" t="s">
        <v>148</v>
      </c>
    </row>
    <row r="23" spans="1:12" s="88" customFormat="1" ht="12.75">
      <c r="A23" s="159">
        <f>A22+1</f>
        <v>12</v>
      </c>
      <c r="B23" s="160" t="s">
        <v>149</v>
      </c>
      <c r="C23" s="253" t="s">
        <v>94</v>
      </c>
      <c r="D23" s="159" t="s">
        <v>94</v>
      </c>
      <c r="E23" s="253" t="s">
        <v>108</v>
      </c>
      <c r="F23" s="159" t="s">
        <v>108</v>
      </c>
      <c r="G23" s="253" t="s">
        <v>110</v>
      </c>
      <c r="H23" s="159" t="s">
        <v>110</v>
      </c>
      <c r="I23" s="253" t="s">
        <v>116</v>
      </c>
      <c r="J23" s="159" t="s">
        <v>116</v>
      </c>
      <c r="K23" s="131"/>
      <c r="L23" s="281" t="s">
        <v>150</v>
      </c>
    </row>
    <row r="24" spans="1:12" s="88" customFormat="1" ht="12.75">
      <c r="A24" s="164"/>
      <c r="B24" s="177"/>
      <c r="C24" s="265"/>
      <c r="D24" s="266"/>
      <c r="E24" s="265"/>
      <c r="F24" s="266"/>
      <c r="G24" s="260"/>
      <c r="H24" s="266"/>
      <c r="I24" s="260"/>
      <c r="J24" s="267"/>
      <c r="K24" s="131"/>
      <c r="L24" s="281" t="s">
        <v>151</v>
      </c>
    </row>
    <row r="25" spans="1:12" s="88" customFormat="1" ht="12.75">
      <c r="A25" s="164"/>
      <c r="B25" s="177"/>
      <c r="C25" s="265"/>
      <c r="D25" s="266"/>
      <c r="E25" s="265"/>
      <c r="F25" s="266"/>
      <c r="G25" s="260"/>
      <c r="H25" s="266"/>
      <c r="I25" s="260"/>
      <c r="J25" s="267"/>
      <c r="K25" s="131"/>
      <c r="L25" s="281" t="s">
        <v>98</v>
      </c>
    </row>
    <row r="26" spans="1:12" s="88" customFormat="1" ht="12.75">
      <c r="A26" s="152" t="s">
        <v>152</v>
      </c>
      <c r="B26" s="153"/>
      <c r="C26" s="153"/>
      <c r="D26" s="247"/>
      <c r="E26" s="248"/>
      <c r="F26" s="247"/>
      <c r="G26" s="153"/>
      <c r="H26" s="247"/>
      <c r="I26" s="153"/>
      <c r="J26" s="249"/>
      <c r="K26" s="131"/>
      <c r="L26" s="83"/>
    </row>
    <row r="27" spans="1:12" ht="12.75">
      <c r="A27" s="156" t="s">
        <v>153</v>
      </c>
      <c r="B27" s="157"/>
      <c r="C27" s="157"/>
      <c r="D27" s="250"/>
      <c r="E27" s="251"/>
      <c r="F27" s="250"/>
      <c r="G27" s="157"/>
      <c r="H27" s="250"/>
      <c r="I27" s="157"/>
      <c r="J27" s="252"/>
      <c r="K27" s="229"/>
      <c r="L27" s="281" t="s">
        <v>154</v>
      </c>
    </row>
    <row r="28" spans="1:12" ht="12.75">
      <c r="A28" s="159">
        <v>13</v>
      </c>
      <c r="B28" s="160" t="s">
        <v>155</v>
      </c>
      <c r="C28" s="253" t="s">
        <v>94</v>
      </c>
      <c r="D28" s="159" t="s">
        <v>94</v>
      </c>
      <c r="E28" s="253" t="s">
        <v>108</v>
      </c>
      <c r="F28" s="159" t="s">
        <v>108</v>
      </c>
      <c r="G28" s="253" t="s">
        <v>110</v>
      </c>
      <c r="H28" s="159" t="s">
        <v>110</v>
      </c>
      <c r="I28" s="253" t="s">
        <v>116</v>
      </c>
      <c r="J28" s="159" t="s">
        <v>116</v>
      </c>
      <c r="K28" s="229"/>
      <c r="L28" s="281" t="s">
        <v>156</v>
      </c>
    </row>
    <row r="29" spans="1:12" ht="12.75">
      <c r="A29" s="159">
        <f>A28+1</f>
        <v>14</v>
      </c>
      <c r="B29" s="160" t="s">
        <v>157</v>
      </c>
      <c r="C29" s="253" t="s">
        <v>94</v>
      </c>
      <c r="D29" s="159" t="s">
        <v>94</v>
      </c>
      <c r="E29" s="253" t="s">
        <v>108</v>
      </c>
      <c r="F29" s="159" t="s">
        <v>108</v>
      </c>
      <c r="G29" s="253" t="s">
        <v>110</v>
      </c>
      <c r="H29" s="159" t="s">
        <v>110</v>
      </c>
      <c r="I29" s="253" t="s">
        <v>116</v>
      </c>
      <c r="J29" s="159" t="s">
        <v>116</v>
      </c>
      <c r="K29" s="229"/>
      <c r="L29" s="281" t="s">
        <v>158</v>
      </c>
    </row>
    <row r="30" spans="1:12" ht="12.75">
      <c r="A30" s="164"/>
      <c r="B30" s="177"/>
      <c r="C30" s="265"/>
      <c r="D30" s="266"/>
      <c r="E30" s="265"/>
      <c r="F30" s="266"/>
      <c r="G30" s="260"/>
      <c r="H30" s="266"/>
      <c r="I30" s="260"/>
      <c r="J30" s="267"/>
      <c r="K30" s="229"/>
      <c r="L30" s="281" t="s">
        <v>159</v>
      </c>
    </row>
    <row r="31" spans="1:12" ht="12.75">
      <c r="A31" s="156" t="s">
        <v>160</v>
      </c>
      <c r="B31" s="157"/>
      <c r="C31" s="157"/>
      <c r="D31" s="250"/>
      <c r="E31" s="251"/>
      <c r="F31" s="250"/>
      <c r="G31" s="157"/>
      <c r="H31" s="250"/>
      <c r="I31" s="157"/>
      <c r="J31" s="252"/>
      <c r="K31" s="229"/>
      <c r="L31" s="281" t="s">
        <v>98</v>
      </c>
    </row>
    <row r="32" spans="1:11" ht="12.75">
      <c r="A32" s="159">
        <v>15</v>
      </c>
      <c r="B32" s="160" t="s">
        <v>161</v>
      </c>
      <c r="C32" s="253" t="s">
        <v>94</v>
      </c>
      <c r="D32" s="159" t="s">
        <v>94</v>
      </c>
      <c r="E32" s="253"/>
      <c r="F32" s="159"/>
      <c r="G32" s="255"/>
      <c r="H32" s="159"/>
      <c r="I32" s="253" t="s">
        <v>96</v>
      </c>
      <c r="J32" s="159" t="s">
        <v>96</v>
      </c>
      <c r="K32" s="229"/>
    </row>
    <row r="33" spans="1:11" ht="12.75">
      <c r="A33" s="156" t="s">
        <v>162</v>
      </c>
      <c r="B33" s="157"/>
      <c r="C33" s="157"/>
      <c r="D33" s="250"/>
      <c r="E33" s="251"/>
      <c r="F33" s="250"/>
      <c r="G33" s="157"/>
      <c r="H33" s="250"/>
      <c r="I33" s="157"/>
      <c r="J33" s="252"/>
      <c r="K33" s="229"/>
    </row>
    <row r="34" spans="1:11" ht="12.75">
      <c r="A34" s="159">
        <v>16</v>
      </c>
      <c r="B34" s="160" t="s">
        <v>163</v>
      </c>
      <c r="C34" s="255"/>
      <c r="D34" s="269" t="s">
        <v>164</v>
      </c>
      <c r="E34" s="255">
        <v>0.71</v>
      </c>
      <c r="F34" s="159" t="s">
        <v>165</v>
      </c>
      <c r="G34" s="255">
        <v>0.81</v>
      </c>
      <c r="H34" s="159" t="s">
        <v>102</v>
      </c>
      <c r="I34" s="255">
        <v>0.91</v>
      </c>
      <c r="J34" s="270" t="s">
        <v>166</v>
      </c>
      <c r="K34" s="229"/>
    </row>
    <row r="35" spans="1:11" ht="25.5">
      <c r="A35" s="159">
        <f>+A34+1</f>
        <v>17</v>
      </c>
      <c r="B35" s="284" t="s">
        <v>167</v>
      </c>
      <c r="C35" s="253"/>
      <c r="D35" s="159" t="s">
        <v>104</v>
      </c>
      <c r="E35" s="255">
        <v>0.2</v>
      </c>
      <c r="F35" s="159" t="s">
        <v>168</v>
      </c>
      <c r="G35" s="255">
        <v>0.51</v>
      </c>
      <c r="H35" s="159" t="s">
        <v>169</v>
      </c>
      <c r="I35" s="255">
        <v>0.8</v>
      </c>
      <c r="J35" s="271" t="s">
        <v>170</v>
      </c>
      <c r="K35" s="229"/>
    </row>
    <row r="36" spans="1:11" s="88" customFormat="1" ht="25.5">
      <c r="A36" s="159">
        <f>+A35+1</f>
        <v>18</v>
      </c>
      <c r="B36" s="284" t="s">
        <v>171</v>
      </c>
      <c r="C36" s="253"/>
      <c r="D36" s="159" t="s">
        <v>104</v>
      </c>
      <c r="E36" s="255">
        <v>0.2</v>
      </c>
      <c r="F36" s="159" t="s">
        <v>172</v>
      </c>
      <c r="G36" s="255">
        <v>0.51</v>
      </c>
      <c r="H36" s="159" t="s">
        <v>169</v>
      </c>
      <c r="I36" s="255">
        <v>0.8</v>
      </c>
      <c r="J36" s="271" t="s">
        <v>170</v>
      </c>
      <c r="K36" s="131"/>
    </row>
    <row r="37" spans="1:11" s="88" customFormat="1" ht="12.75">
      <c r="A37" s="164"/>
      <c r="B37" s="285"/>
      <c r="C37" s="265"/>
      <c r="D37" s="266"/>
      <c r="E37" s="260"/>
      <c r="F37" s="266"/>
      <c r="G37" s="260"/>
      <c r="H37" s="266"/>
      <c r="I37" s="260"/>
      <c r="J37" s="272"/>
      <c r="K37" s="131"/>
    </row>
    <row r="38" spans="1:11" ht="12.75">
      <c r="A38" s="156" t="s">
        <v>173</v>
      </c>
      <c r="B38" s="157"/>
      <c r="C38" s="157"/>
      <c r="D38" s="250"/>
      <c r="E38" s="251"/>
      <c r="F38" s="250"/>
      <c r="G38" s="157"/>
      <c r="H38" s="250"/>
      <c r="I38" s="157"/>
      <c r="J38" s="252"/>
      <c r="K38" s="229"/>
    </row>
    <row r="39" spans="1:11" s="88" customFormat="1" ht="25.5">
      <c r="A39" s="159">
        <v>19</v>
      </c>
      <c r="B39" s="284" t="s">
        <v>174</v>
      </c>
      <c r="C39" s="253" t="s">
        <v>94</v>
      </c>
      <c r="D39" s="159" t="s">
        <v>94</v>
      </c>
      <c r="E39" s="253" t="s">
        <v>108</v>
      </c>
      <c r="F39" s="159" t="s">
        <v>108</v>
      </c>
      <c r="G39" s="253" t="s">
        <v>110</v>
      </c>
      <c r="H39" s="159" t="s">
        <v>110</v>
      </c>
      <c r="I39" s="253" t="s">
        <v>116</v>
      </c>
      <c r="J39" s="159" t="s">
        <v>116</v>
      </c>
      <c r="K39" s="131"/>
    </row>
    <row r="40" spans="1:11" s="94" customFormat="1" ht="25.5">
      <c r="A40" s="253">
        <f>A39+1</f>
        <v>20</v>
      </c>
      <c r="B40" s="160" t="s">
        <v>175</v>
      </c>
      <c r="C40" s="253" t="s">
        <v>94</v>
      </c>
      <c r="D40" s="159" t="s">
        <v>94</v>
      </c>
      <c r="E40" s="253" t="s">
        <v>108</v>
      </c>
      <c r="F40" s="159" t="s">
        <v>108</v>
      </c>
      <c r="G40" s="253" t="s">
        <v>110</v>
      </c>
      <c r="H40" s="159" t="s">
        <v>110</v>
      </c>
      <c r="I40" s="253" t="s">
        <v>116</v>
      </c>
      <c r="J40" s="159" t="s">
        <v>116</v>
      </c>
      <c r="K40" s="130"/>
    </row>
    <row r="41" spans="1:11" s="94" customFormat="1" ht="12.75">
      <c r="A41" s="286"/>
      <c r="B41" s="177"/>
      <c r="C41" s="265"/>
      <c r="D41" s="266"/>
      <c r="E41" s="265"/>
      <c r="F41" s="266"/>
      <c r="G41" s="260"/>
      <c r="H41" s="266"/>
      <c r="I41" s="260"/>
      <c r="J41" s="267"/>
      <c r="K41" s="130"/>
    </row>
    <row r="42" spans="1:11" s="94" customFormat="1" ht="12.75">
      <c r="A42" s="286"/>
      <c r="B42" s="177"/>
      <c r="C42" s="265"/>
      <c r="D42" s="266"/>
      <c r="E42" s="265"/>
      <c r="F42" s="266"/>
      <c r="G42" s="260"/>
      <c r="H42" s="266"/>
      <c r="I42" s="260"/>
      <c r="J42" s="267"/>
      <c r="K42" s="130"/>
    </row>
    <row r="43" spans="1:11" s="96" customFormat="1" ht="12.75">
      <c r="A43" s="152" t="s">
        <v>176</v>
      </c>
      <c r="B43" s="153"/>
      <c r="C43" s="153"/>
      <c r="D43" s="247"/>
      <c r="E43" s="248"/>
      <c r="F43" s="247"/>
      <c r="G43" s="153"/>
      <c r="H43" s="247"/>
      <c r="I43" s="153"/>
      <c r="J43" s="249"/>
      <c r="K43" s="273"/>
    </row>
    <row r="44" spans="1:11" ht="12.75">
      <c r="A44" s="156" t="s">
        <v>177</v>
      </c>
      <c r="B44" s="157"/>
      <c r="C44" s="157"/>
      <c r="D44" s="250"/>
      <c r="E44" s="251"/>
      <c r="F44" s="250"/>
      <c r="G44" s="157"/>
      <c r="H44" s="250"/>
      <c r="I44" s="157"/>
      <c r="J44" s="252"/>
      <c r="K44" s="229"/>
    </row>
    <row r="45" spans="1:11" s="88" customFormat="1" ht="25.5">
      <c r="A45" s="159">
        <v>21</v>
      </c>
      <c r="B45" s="160" t="s">
        <v>178</v>
      </c>
      <c r="C45" s="255">
        <v>1</v>
      </c>
      <c r="D45" s="159" t="s">
        <v>179</v>
      </c>
      <c r="E45" s="255">
        <v>0.4</v>
      </c>
      <c r="F45" s="159" t="s">
        <v>180</v>
      </c>
      <c r="G45" s="255">
        <v>0.61</v>
      </c>
      <c r="H45" s="159" t="s">
        <v>181</v>
      </c>
      <c r="I45" s="255">
        <v>0.8</v>
      </c>
      <c r="J45" s="159" t="s">
        <v>170</v>
      </c>
      <c r="K45" s="131"/>
    </row>
    <row r="46" spans="1:11" s="88" customFormat="1" ht="25.5">
      <c r="A46" s="159">
        <f>A45+1</f>
        <v>22</v>
      </c>
      <c r="B46" s="160" t="s">
        <v>182</v>
      </c>
      <c r="C46" s="255"/>
      <c r="D46" s="159" t="s">
        <v>183</v>
      </c>
      <c r="E46" s="255">
        <v>0.9</v>
      </c>
      <c r="F46" s="159" t="s">
        <v>184</v>
      </c>
      <c r="G46" s="255">
        <v>0.93</v>
      </c>
      <c r="H46" s="159" t="s">
        <v>185</v>
      </c>
      <c r="I46" s="255">
        <v>0.95</v>
      </c>
      <c r="J46" s="159" t="s">
        <v>186</v>
      </c>
      <c r="K46" s="131"/>
    </row>
    <row r="47" spans="1:11" ht="25.5">
      <c r="A47" s="159">
        <f>A46+1</f>
        <v>23</v>
      </c>
      <c r="B47" s="181" t="s">
        <v>187</v>
      </c>
      <c r="C47" s="255"/>
      <c r="D47" s="159" t="s">
        <v>188</v>
      </c>
      <c r="E47" s="255">
        <v>0.1</v>
      </c>
      <c r="F47" s="159" t="s">
        <v>189</v>
      </c>
      <c r="G47" s="255">
        <v>0.08</v>
      </c>
      <c r="H47" s="159" t="s">
        <v>190</v>
      </c>
      <c r="I47" s="255">
        <v>0.05</v>
      </c>
      <c r="J47" s="159" t="s">
        <v>191</v>
      </c>
      <c r="K47" s="229"/>
    </row>
    <row r="48" spans="1:11" ht="12.75">
      <c r="A48" s="164"/>
      <c r="B48" s="287"/>
      <c r="C48" s="260"/>
      <c r="D48" s="266"/>
      <c r="E48" s="260"/>
      <c r="F48" s="266"/>
      <c r="G48" s="260"/>
      <c r="H48" s="266"/>
      <c r="I48" s="260"/>
      <c r="J48" s="267"/>
      <c r="K48" s="229"/>
    </row>
    <row r="49" spans="1:11" s="97" customFormat="1" ht="12.75">
      <c r="A49" s="156" t="s">
        <v>192</v>
      </c>
      <c r="B49" s="157"/>
      <c r="C49" s="157"/>
      <c r="D49" s="250"/>
      <c r="E49" s="251"/>
      <c r="F49" s="250"/>
      <c r="G49" s="157"/>
      <c r="H49" s="250"/>
      <c r="I49" s="157"/>
      <c r="J49" s="252"/>
      <c r="K49" s="274"/>
    </row>
    <row r="50" spans="1:11" ht="25.5">
      <c r="A50" s="159">
        <v>24</v>
      </c>
      <c r="B50" s="160" t="s">
        <v>193</v>
      </c>
      <c r="C50" s="253"/>
      <c r="D50" s="159" t="s">
        <v>183</v>
      </c>
      <c r="E50" s="255">
        <v>0.9</v>
      </c>
      <c r="F50" s="159" t="s">
        <v>194</v>
      </c>
      <c r="G50" s="255">
        <v>0.96</v>
      </c>
      <c r="H50" s="159" t="s">
        <v>195</v>
      </c>
      <c r="I50" s="255">
        <v>1</v>
      </c>
      <c r="J50" s="271">
        <v>1</v>
      </c>
      <c r="K50" s="229"/>
    </row>
    <row r="51" spans="1:11" ht="25.5">
      <c r="A51" s="159">
        <f>A50+1</f>
        <v>25</v>
      </c>
      <c r="B51" s="160" t="s">
        <v>196</v>
      </c>
      <c r="C51" s="253"/>
      <c r="D51" s="159" t="s">
        <v>183</v>
      </c>
      <c r="E51" s="255">
        <v>0.9</v>
      </c>
      <c r="F51" s="159" t="s">
        <v>194</v>
      </c>
      <c r="G51" s="255">
        <v>0.96</v>
      </c>
      <c r="H51" s="159" t="s">
        <v>195</v>
      </c>
      <c r="I51" s="255">
        <v>1</v>
      </c>
      <c r="J51" s="271">
        <v>1</v>
      </c>
      <c r="K51" s="229"/>
    </row>
    <row r="52" spans="1:11" ht="25.5">
      <c r="A52" s="159">
        <f>A51+1</f>
        <v>26</v>
      </c>
      <c r="B52" s="160" t="s">
        <v>197</v>
      </c>
      <c r="C52" s="253"/>
      <c r="D52" s="159" t="s">
        <v>183</v>
      </c>
      <c r="E52" s="255">
        <v>0.9</v>
      </c>
      <c r="F52" s="159" t="s">
        <v>194</v>
      </c>
      <c r="G52" s="255">
        <v>0.96</v>
      </c>
      <c r="H52" s="159" t="s">
        <v>195</v>
      </c>
      <c r="I52" s="255">
        <v>1</v>
      </c>
      <c r="J52" s="271">
        <v>1</v>
      </c>
      <c r="K52" s="229"/>
    </row>
    <row r="53" spans="1:11" ht="12.75">
      <c r="A53" s="164"/>
      <c r="B53" s="177"/>
      <c r="C53" s="265"/>
      <c r="D53" s="266"/>
      <c r="E53" s="260"/>
      <c r="F53" s="266"/>
      <c r="G53" s="260"/>
      <c r="H53" s="266"/>
      <c r="I53" s="260"/>
      <c r="J53" s="272"/>
      <c r="K53" s="229"/>
    </row>
    <row r="54" spans="1:11" ht="12.75">
      <c r="A54" s="156" t="s">
        <v>198</v>
      </c>
      <c r="B54" s="157"/>
      <c r="C54" s="157"/>
      <c r="D54" s="250"/>
      <c r="E54" s="251"/>
      <c r="F54" s="250"/>
      <c r="G54" s="157"/>
      <c r="H54" s="250"/>
      <c r="I54" s="157"/>
      <c r="J54" s="252"/>
      <c r="K54" s="229"/>
    </row>
    <row r="55" spans="1:11" ht="25.5">
      <c r="A55" s="159">
        <v>27</v>
      </c>
      <c r="B55" s="160" t="s">
        <v>199</v>
      </c>
      <c r="C55" s="253" t="s">
        <v>94</v>
      </c>
      <c r="D55" s="159" t="s">
        <v>94</v>
      </c>
      <c r="E55" s="253" t="s">
        <v>108</v>
      </c>
      <c r="F55" s="159" t="s">
        <v>108</v>
      </c>
      <c r="G55" s="253" t="s">
        <v>110</v>
      </c>
      <c r="H55" s="159" t="s">
        <v>110</v>
      </c>
      <c r="I55" s="253" t="s">
        <v>116</v>
      </c>
      <c r="J55" s="159" t="s">
        <v>116</v>
      </c>
      <c r="K55" s="229"/>
    </row>
    <row r="56" spans="1:11" ht="25.5">
      <c r="A56" s="288">
        <f>A55+1</f>
        <v>28</v>
      </c>
      <c r="B56" s="181" t="s">
        <v>200</v>
      </c>
      <c r="C56" s="253" t="s">
        <v>127</v>
      </c>
      <c r="D56" s="159" t="s">
        <v>127</v>
      </c>
      <c r="E56" s="253" t="s">
        <v>129</v>
      </c>
      <c r="F56" s="159" t="s">
        <v>129</v>
      </c>
      <c r="G56" s="253" t="s">
        <v>131</v>
      </c>
      <c r="H56" s="159" t="s">
        <v>201</v>
      </c>
      <c r="I56" s="255" t="s">
        <v>103</v>
      </c>
      <c r="J56" s="159" t="s">
        <v>201</v>
      </c>
      <c r="K56" s="229"/>
    </row>
    <row r="57" spans="1:11" s="88" customFormat="1" ht="12.75">
      <c r="A57" s="159">
        <f>A56+1</f>
        <v>29</v>
      </c>
      <c r="B57" s="181" t="s">
        <v>202</v>
      </c>
      <c r="C57" s="253" t="s">
        <v>94</v>
      </c>
      <c r="D57" s="159" t="s">
        <v>94</v>
      </c>
      <c r="E57" s="253"/>
      <c r="F57" s="159"/>
      <c r="G57" s="255"/>
      <c r="H57" s="159"/>
      <c r="I57" s="253" t="s">
        <v>96</v>
      </c>
      <c r="J57" s="159" t="s">
        <v>96</v>
      </c>
      <c r="K57" s="131"/>
    </row>
    <row r="58" spans="1:11" s="88" customFormat="1" ht="12.75">
      <c r="A58" s="159"/>
      <c r="B58" s="181"/>
      <c r="C58" s="265"/>
      <c r="D58" s="164"/>
      <c r="E58" s="265"/>
      <c r="F58" s="266"/>
      <c r="G58" s="260"/>
      <c r="H58" s="266"/>
      <c r="I58" s="260"/>
      <c r="J58" s="267"/>
      <c r="K58" s="131"/>
    </row>
    <row r="59" spans="1:11" s="88" customFormat="1" ht="12.75">
      <c r="A59" s="289" t="s">
        <v>203</v>
      </c>
      <c r="B59" s="181"/>
      <c r="C59" s="153"/>
      <c r="D59" s="152"/>
      <c r="E59" s="248"/>
      <c r="F59" s="247"/>
      <c r="G59" s="153"/>
      <c r="H59" s="247"/>
      <c r="I59" s="153"/>
      <c r="J59" s="249"/>
      <c r="K59" s="131"/>
    </row>
    <row r="60" spans="1:11" s="88" customFormat="1" ht="25.5">
      <c r="A60" s="159">
        <v>30</v>
      </c>
      <c r="B60" s="181" t="s">
        <v>204</v>
      </c>
      <c r="C60" s="253" t="s">
        <v>94</v>
      </c>
      <c r="D60" s="159" t="s">
        <v>94</v>
      </c>
      <c r="E60" s="253" t="s">
        <v>108</v>
      </c>
      <c r="F60" s="159" t="s">
        <v>108</v>
      </c>
      <c r="G60" s="253" t="s">
        <v>110</v>
      </c>
      <c r="H60" s="159" t="s">
        <v>110</v>
      </c>
      <c r="I60" s="253" t="s">
        <v>116</v>
      </c>
      <c r="J60" s="159" t="s">
        <v>116</v>
      </c>
      <c r="K60" s="131"/>
    </row>
    <row r="61" spans="1:11" s="88" customFormat="1" ht="25.5">
      <c r="A61" s="159">
        <f>A60+1</f>
        <v>31</v>
      </c>
      <c r="B61" s="181" t="s">
        <v>205</v>
      </c>
      <c r="C61" s="253" t="s">
        <v>94</v>
      </c>
      <c r="D61" s="159" t="s">
        <v>94</v>
      </c>
      <c r="E61" s="253" t="s">
        <v>108</v>
      </c>
      <c r="F61" s="159" t="s">
        <v>108</v>
      </c>
      <c r="G61" s="253" t="s">
        <v>110</v>
      </c>
      <c r="H61" s="159" t="s">
        <v>110</v>
      </c>
      <c r="I61" s="253" t="s">
        <v>116</v>
      </c>
      <c r="J61" s="159" t="s">
        <v>116</v>
      </c>
      <c r="K61" s="131"/>
    </row>
    <row r="62" spans="1:11" s="88" customFormat="1" ht="12.75">
      <c r="A62" s="164"/>
      <c r="B62" s="287"/>
      <c r="C62" s="265"/>
      <c r="D62" s="266"/>
      <c r="E62" s="265"/>
      <c r="F62" s="266"/>
      <c r="G62" s="260"/>
      <c r="H62" s="266"/>
      <c r="I62" s="260"/>
      <c r="J62" s="267"/>
      <c r="K62" s="131"/>
    </row>
    <row r="63" spans="1:11" ht="12.75">
      <c r="A63" s="156" t="s">
        <v>206</v>
      </c>
      <c r="B63" s="157"/>
      <c r="C63" s="157"/>
      <c r="D63" s="250"/>
      <c r="E63" s="251"/>
      <c r="F63" s="250"/>
      <c r="G63" s="157"/>
      <c r="H63" s="250"/>
      <c r="I63" s="157"/>
      <c r="J63" s="252"/>
      <c r="K63" s="229"/>
    </row>
    <row r="64" spans="1:11" s="88" customFormat="1" ht="38.25">
      <c r="A64" s="159">
        <v>32</v>
      </c>
      <c r="B64" s="160" t="s">
        <v>207</v>
      </c>
      <c r="C64" s="253" t="s">
        <v>94</v>
      </c>
      <c r="D64" s="159" t="s">
        <v>94</v>
      </c>
      <c r="E64" s="253" t="s">
        <v>108</v>
      </c>
      <c r="F64" s="159" t="s">
        <v>108</v>
      </c>
      <c r="G64" s="253" t="s">
        <v>110</v>
      </c>
      <c r="H64" s="159" t="s">
        <v>110</v>
      </c>
      <c r="I64" s="253" t="s">
        <v>116</v>
      </c>
      <c r="J64" s="159" t="s">
        <v>116</v>
      </c>
      <c r="K64" s="131"/>
    </row>
    <row r="65" spans="1:11" s="88" customFormat="1" ht="25.5">
      <c r="A65" s="159">
        <f>A64+1</f>
        <v>33</v>
      </c>
      <c r="B65" s="160" t="s">
        <v>208</v>
      </c>
      <c r="C65" s="253" t="s">
        <v>94</v>
      </c>
      <c r="D65" s="159" t="s">
        <v>94</v>
      </c>
      <c r="E65" s="253" t="s">
        <v>108</v>
      </c>
      <c r="F65" s="159" t="s">
        <v>108</v>
      </c>
      <c r="G65" s="253" t="s">
        <v>110</v>
      </c>
      <c r="H65" s="159" t="s">
        <v>110</v>
      </c>
      <c r="I65" s="253" t="s">
        <v>116</v>
      </c>
      <c r="J65" s="159" t="s">
        <v>116</v>
      </c>
      <c r="K65" s="131"/>
    </row>
    <row r="66" spans="1:11" s="88" customFormat="1" ht="12.75">
      <c r="A66" s="288">
        <f>A65+1</f>
        <v>34</v>
      </c>
      <c r="B66" s="160" t="s">
        <v>209</v>
      </c>
      <c r="C66" s="253" t="s">
        <v>143</v>
      </c>
      <c r="D66" s="159" t="s">
        <v>143</v>
      </c>
      <c r="E66" s="253" t="s">
        <v>148</v>
      </c>
      <c r="F66" s="159" t="s">
        <v>148</v>
      </c>
      <c r="G66" s="253" t="s">
        <v>150</v>
      </c>
      <c r="H66" s="159" t="s">
        <v>150</v>
      </c>
      <c r="I66" s="253" t="s">
        <v>151</v>
      </c>
      <c r="J66" s="159" t="s">
        <v>151</v>
      </c>
      <c r="K66" s="131"/>
    </row>
    <row r="67" spans="1:11" s="88" customFormat="1" ht="12.75">
      <c r="A67" s="164"/>
      <c r="B67" s="177"/>
      <c r="C67" s="265"/>
      <c r="D67" s="266"/>
      <c r="E67" s="265"/>
      <c r="F67" s="266"/>
      <c r="G67" s="260"/>
      <c r="H67" s="266"/>
      <c r="I67" s="260"/>
      <c r="J67" s="267"/>
      <c r="K67" s="131"/>
    </row>
    <row r="68" spans="1:11" s="88" customFormat="1" ht="12.75">
      <c r="A68" s="164"/>
      <c r="B68" s="177"/>
      <c r="C68" s="265"/>
      <c r="D68" s="266"/>
      <c r="E68" s="265"/>
      <c r="F68" s="266"/>
      <c r="G68" s="260"/>
      <c r="H68" s="266"/>
      <c r="I68" s="260"/>
      <c r="J68" s="267"/>
      <c r="K68" s="131"/>
    </row>
    <row r="69" spans="1:11" s="88" customFormat="1" ht="12.75">
      <c r="A69" s="152" t="s">
        <v>210</v>
      </c>
      <c r="B69" s="153"/>
      <c r="C69" s="153"/>
      <c r="D69" s="247"/>
      <c r="E69" s="248"/>
      <c r="F69" s="247"/>
      <c r="G69" s="153"/>
      <c r="H69" s="247"/>
      <c r="I69" s="153"/>
      <c r="J69" s="249"/>
      <c r="K69" s="131"/>
    </row>
    <row r="70" spans="1:11" ht="12.75">
      <c r="A70" s="156" t="s">
        <v>211</v>
      </c>
      <c r="B70" s="157"/>
      <c r="C70" s="157"/>
      <c r="D70" s="250"/>
      <c r="E70" s="251"/>
      <c r="F70" s="250"/>
      <c r="G70" s="157"/>
      <c r="H70" s="250"/>
      <c r="I70" s="157"/>
      <c r="J70" s="252"/>
      <c r="K70" s="229"/>
    </row>
    <row r="71" spans="1:11" ht="12.75">
      <c r="A71" s="159">
        <v>35</v>
      </c>
      <c r="B71" s="284" t="s">
        <v>212</v>
      </c>
      <c r="C71" s="253" t="s">
        <v>94</v>
      </c>
      <c r="D71" s="159" t="s">
        <v>94</v>
      </c>
      <c r="E71" s="253"/>
      <c r="F71" s="159"/>
      <c r="G71" s="255"/>
      <c r="H71" s="159"/>
      <c r="I71" s="253" t="s">
        <v>96</v>
      </c>
      <c r="J71" s="159" t="s">
        <v>96</v>
      </c>
      <c r="K71" s="229"/>
    </row>
    <row r="72" spans="1:11" ht="38.25">
      <c r="A72" s="159">
        <f>A71+1</f>
        <v>36</v>
      </c>
      <c r="B72" s="181" t="s">
        <v>213</v>
      </c>
      <c r="C72" s="253"/>
      <c r="D72" s="253" t="s">
        <v>214</v>
      </c>
      <c r="E72" s="255">
        <v>0.7</v>
      </c>
      <c r="F72" s="253" t="s">
        <v>215</v>
      </c>
      <c r="G72" s="255">
        <v>0.8</v>
      </c>
      <c r="H72" s="253" t="s">
        <v>216</v>
      </c>
      <c r="I72" s="255">
        <v>0.9</v>
      </c>
      <c r="J72" s="253" t="s">
        <v>217</v>
      </c>
      <c r="K72" s="229"/>
    </row>
    <row r="73" spans="1:11" ht="12.75">
      <c r="A73" s="164"/>
      <c r="B73" s="287"/>
      <c r="C73" s="265"/>
      <c r="D73" s="265"/>
      <c r="E73" s="260"/>
      <c r="F73" s="265"/>
      <c r="G73" s="260"/>
      <c r="H73" s="265"/>
      <c r="I73" s="260"/>
      <c r="J73" s="275"/>
      <c r="K73" s="229"/>
    </row>
    <row r="74" spans="1:11" ht="12.75">
      <c r="A74" s="156" t="s">
        <v>218</v>
      </c>
      <c r="B74" s="157"/>
      <c r="C74" s="157"/>
      <c r="D74" s="250"/>
      <c r="E74" s="251"/>
      <c r="F74" s="250"/>
      <c r="G74" s="157"/>
      <c r="H74" s="250"/>
      <c r="I74" s="157"/>
      <c r="J74" s="252"/>
      <c r="K74" s="229"/>
    </row>
    <row r="75" spans="1:11" ht="25.5">
      <c r="A75" s="159">
        <v>37</v>
      </c>
      <c r="B75" s="181" t="s">
        <v>219</v>
      </c>
      <c r="C75" s="253" t="s">
        <v>94</v>
      </c>
      <c r="D75" s="159" t="s">
        <v>94</v>
      </c>
      <c r="E75" s="253" t="s">
        <v>108</v>
      </c>
      <c r="F75" s="159" t="s">
        <v>108</v>
      </c>
      <c r="G75" s="253" t="s">
        <v>110</v>
      </c>
      <c r="H75" s="159" t="s">
        <v>110</v>
      </c>
      <c r="I75" s="253" t="s">
        <v>116</v>
      </c>
      <c r="J75" s="159" t="s">
        <v>116</v>
      </c>
      <c r="K75" s="229"/>
    </row>
    <row r="76" spans="1:11" s="88" customFormat="1" ht="25.5">
      <c r="A76" s="159">
        <f>A75+1</f>
        <v>38</v>
      </c>
      <c r="B76" s="181" t="s">
        <v>220</v>
      </c>
      <c r="C76" s="253" t="s">
        <v>154</v>
      </c>
      <c r="D76" s="159" t="s">
        <v>154</v>
      </c>
      <c r="E76" s="253" t="s">
        <v>156</v>
      </c>
      <c r="F76" s="159" t="s">
        <v>156</v>
      </c>
      <c r="G76" s="253" t="s">
        <v>158</v>
      </c>
      <c r="H76" s="159" t="s">
        <v>158</v>
      </c>
      <c r="I76" s="253" t="s">
        <v>159</v>
      </c>
      <c r="J76" s="159" t="s">
        <v>159</v>
      </c>
      <c r="K76" s="131"/>
    </row>
    <row r="77" spans="1:11" s="88" customFormat="1" ht="12.75">
      <c r="A77" s="164"/>
      <c r="B77" s="287"/>
      <c r="C77" s="265"/>
      <c r="D77" s="266"/>
      <c r="E77" s="260"/>
      <c r="F77" s="266"/>
      <c r="G77" s="260"/>
      <c r="H77" s="266"/>
      <c r="I77" s="260"/>
      <c r="J77" s="267"/>
      <c r="K77" s="131"/>
    </row>
    <row r="78" spans="1:11" ht="12.75">
      <c r="A78" s="156" t="s">
        <v>221</v>
      </c>
      <c r="B78" s="157"/>
      <c r="C78" s="157"/>
      <c r="D78" s="250"/>
      <c r="E78" s="251"/>
      <c r="F78" s="250"/>
      <c r="G78" s="157"/>
      <c r="H78" s="250"/>
      <c r="I78" s="157"/>
      <c r="J78" s="252"/>
      <c r="K78" s="229"/>
    </row>
    <row r="79" spans="1:11" s="88" customFormat="1" ht="25.5">
      <c r="A79" s="159">
        <v>39</v>
      </c>
      <c r="B79" s="181" t="s">
        <v>222</v>
      </c>
      <c r="C79" s="253" t="s">
        <v>94</v>
      </c>
      <c r="D79" s="159" t="s">
        <v>94</v>
      </c>
      <c r="E79" s="253" t="s">
        <v>108</v>
      </c>
      <c r="F79" s="159" t="s">
        <v>108</v>
      </c>
      <c r="G79" s="253" t="s">
        <v>110</v>
      </c>
      <c r="H79" s="159" t="s">
        <v>110</v>
      </c>
      <c r="I79" s="253" t="s">
        <v>116</v>
      </c>
      <c r="J79" s="159" t="s">
        <v>116</v>
      </c>
      <c r="K79" s="131"/>
    </row>
    <row r="80" spans="1:11" ht="12.75">
      <c r="A80" s="156" t="s">
        <v>223</v>
      </c>
      <c r="B80" s="157"/>
      <c r="C80" s="157"/>
      <c r="D80" s="250"/>
      <c r="E80" s="251"/>
      <c r="F80" s="250"/>
      <c r="G80" s="157"/>
      <c r="H80" s="250"/>
      <c r="I80" s="157"/>
      <c r="J80" s="252"/>
      <c r="K80" s="229"/>
    </row>
    <row r="81" spans="1:11" s="88" customFormat="1" ht="12.75">
      <c r="A81" s="159">
        <v>40</v>
      </c>
      <c r="B81" s="181" t="s">
        <v>224</v>
      </c>
      <c r="C81" s="253" t="s">
        <v>94</v>
      </c>
      <c r="D81" s="159" t="s">
        <v>94</v>
      </c>
      <c r="E81" s="253" t="s">
        <v>108</v>
      </c>
      <c r="F81" s="159" t="s">
        <v>108</v>
      </c>
      <c r="G81" s="253" t="s">
        <v>110</v>
      </c>
      <c r="H81" s="159" t="s">
        <v>110</v>
      </c>
      <c r="I81" s="253" t="s">
        <v>116</v>
      </c>
      <c r="J81" s="159" t="s">
        <v>116</v>
      </c>
      <c r="K81" s="131"/>
    </row>
    <row r="82" spans="1:11" ht="10.5" customHeight="1">
      <c r="A82" s="229"/>
      <c r="B82" s="276"/>
      <c r="C82" s="276"/>
      <c r="D82" s="229"/>
      <c r="E82" s="277"/>
      <c r="F82" s="229"/>
      <c r="G82" s="276"/>
      <c r="H82" s="229"/>
      <c r="I82" s="278"/>
      <c r="J82" s="229"/>
      <c r="K82" s="279"/>
    </row>
    <row r="83" ht="10.5" customHeight="1"/>
    <row r="84" spans="1:11" ht="10.5" customHeight="1">
      <c r="A84" s="88"/>
      <c r="B84" s="94"/>
      <c r="C84" s="98"/>
      <c r="D84" s="98"/>
      <c r="E84" s="99"/>
      <c r="F84" s="98"/>
      <c r="G84" s="98"/>
      <c r="H84" s="98"/>
      <c r="I84" s="100"/>
      <c r="J84" s="98"/>
      <c r="K84" s="100"/>
    </row>
    <row r="85" spans="1:11" ht="10.5" customHeight="1">
      <c r="A85" s="88"/>
      <c r="B85" s="94"/>
      <c r="C85" s="98"/>
      <c r="D85" s="98"/>
      <c r="E85" s="99"/>
      <c r="H85" s="98"/>
      <c r="I85" s="100"/>
      <c r="J85" s="98"/>
      <c r="K85" s="100"/>
    </row>
    <row r="86" spans="1:11" s="102" customFormat="1" ht="10.5" customHeight="1">
      <c r="A86" s="94"/>
      <c r="B86" s="94"/>
      <c r="C86" s="101"/>
      <c r="E86" s="85"/>
      <c r="G86" s="101"/>
      <c r="I86" s="103"/>
      <c r="K86" s="104"/>
    </row>
    <row r="87" ht="10.5" customHeight="1">
      <c r="A87" s="105"/>
    </row>
    <row r="88" ht="10.5" customHeight="1">
      <c r="A88" s="105"/>
    </row>
    <row r="89" ht="10.5" customHeight="1">
      <c r="A89" s="105"/>
    </row>
    <row r="90" ht="10.5" customHeight="1">
      <c r="A90" s="105"/>
    </row>
    <row r="91" ht="10.5" customHeight="1">
      <c r="A91" s="105"/>
    </row>
    <row r="92" ht="10.5" customHeight="1">
      <c r="A92" s="105"/>
    </row>
    <row r="93" ht="10.5" customHeight="1">
      <c r="A93" s="105"/>
    </row>
    <row r="94" ht="10.5" customHeight="1">
      <c r="A94" s="105"/>
    </row>
    <row r="95" ht="10.5" customHeight="1">
      <c r="A95" s="105"/>
    </row>
    <row r="96" ht="10.5" customHeight="1">
      <c r="A96" s="84"/>
    </row>
    <row r="97" ht="10.5" customHeight="1">
      <c r="A97" s="84"/>
    </row>
    <row r="98" ht="10.5" customHeight="1">
      <c r="A98" s="84"/>
    </row>
    <row r="99" ht="10.5" customHeight="1">
      <c r="A99" s="84"/>
    </row>
    <row r="100" ht="10.5" customHeight="1">
      <c r="A100" s="84"/>
    </row>
    <row r="101" ht="12.75">
      <c r="A101" s="84"/>
    </row>
    <row r="102" ht="12.75">
      <c r="A102" s="84"/>
    </row>
  </sheetData>
  <sheetProtection password="D52D" sheet="1" formatCells="0"/>
  <printOptions horizontalCentered="1"/>
  <pageMargins left="0.25" right="0.25" top="0.25" bottom="0.25" header="0.5118055555555555" footer="0.5118055555555555"/>
  <pageSetup horizontalDpi="600" verticalDpi="600" orientation="portrait" paperSize="9" scale="43" r:id="rId2"/>
  <drawing r:id="rId1"/>
</worksheet>
</file>

<file path=xl/worksheets/sheet4.xml><?xml version="1.0" encoding="utf-8"?>
<worksheet xmlns="http://schemas.openxmlformats.org/spreadsheetml/2006/main" xmlns:r="http://schemas.openxmlformats.org/officeDocument/2006/relationships">
  <dimension ref="A1:Q203"/>
  <sheetViews>
    <sheetView showGridLines="0" zoomScale="125" zoomScaleNormal="125" zoomScaleSheetLayoutView="100" zoomScalePageLayoutView="0" workbookViewId="0" topLeftCell="A1">
      <selection activeCell="K3" sqref="K3:N3"/>
    </sheetView>
  </sheetViews>
  <sheetFormatPr defaultColWidth="9.140625" defaultRowHeight="12.75"/>
  <cols>
    <col min="1" max="1" width="9.140625" style="106" customWidth="1"/>
    <col min="2" max="2" width="2.8515625" style="225" customWidth="1"/>
    <col min="3" max="3" width="9.140625" style="108" customWidth="1"/>
    <col min="4" max="4" width="9.140625" style="109" customWidth="1"/>
    <col min="5" max="5" width="2.8515625" style="109" customWidth="1"/>
    <col min="6" max="6" width="9.28125" style="110" customWidth="1"/>
    <col min="7" max="7" width="6.00390625" style="109" customWidth="1"/>
    <col min="8" max="8" width="8.57421875" style="109" customWidth="1"/>
    <col min="9" max="9" width="8.7109375" style="109" customWidth="1"/>
    <col min="10" max="14" width="9.140625" style="109" customWidth="1"/>
    <col min="15" max="16" width="9.140625" style="111" customWidth="1"/>
    <col min="17" max="17" width="18.140625" style="112" hidden="1" customWidth="1"/>
    <col min="18" max="19" width="9.140625" style="111" customWidth="1"/>
    <col min="20" max="16384" width="9.140625" style="109" customWidth="1"/>
  </cols>
  <sheetData>
    <row r="1" spans="2:14" ht="14.25">
      <c r="B1" s="225" t="s">
        <v>5</v>
      </c>
      <c r="C1" s="114"/>
      <c r="D1" s="111"/>
      <c r="E1" s="111"/>
      <c r="F1" s="115"/>
      <c r="G1" s="111"/>
      <c r="H1" s="111"/>
      <c r="I1" s="111"/>
      <c r="J1" s="111"/>
      <c r="K1" s="111"/>
      <c r="L1" s="111"/>
      <c r="M1" s="111"/>
      <c r="N1" s="111"/>
    </row>
    <row r="2" spans="1:14" ht="14.25">
      <c r="A2" s="113" t="s">
        <v>225</v>
      </c>
      <c r="C2" s="114"/>
      <c r="D2" s="311" t="s">
        <v>412</v>
      </c>
      <c r="E2" s="311"/>
      <c r="F2" s="311"/>
      <c r="G2" s="311"/>
      <c r="H2" s="311"/>
      <c r="I2" s="111"/>
      <c r="J2" s="113" t="s">
        <v>226</v>
      </c>
      <c r="K2" s="312">
        <v>42823</v>
      </c>
      <c r="L2" s="310"/>
      <c r="M2" s="310"/>
      <c r="N2" s="310"/>
    </row>
    <row r="3" spans="1:14" ht="14.25">
      <c r="A3" s="113" t="s">
        <v>227</v>
      </c>
      <c r="C3" s="114"/>
      <c r="D3" s="313" t="s">
        <v>413</v>
      </c>
      <c r="E3" s="313"/>
      <c r="F3" s="313"/>
      <c r="G3" s="313"/>
      <c r="H3" s="313"/>
      <c r="I3" s="111"/>
      <c r="J3" s="113" t="s">
        <v>228</v>
      </c>
      <c r="K3" s="313" t="s">
        <v>414</v>
      </c>
      <c r="L3" s="313"/>
      <c r="M3" s="313"/>
      <c r="N3" s="313"/>
    </row>
    <row r="4" spans="1:14" ht="14.25">
      <c r="A4" s="113"/>
      <c r="C4" s="114"/>
      <c r="D4" s="111"/>
      <c r="E4" s="111"/>
      <c r="F4" s="115"/>
      <c r="G4" s="111"/>
      <c r="H4" s="111"/>
      <c r="I4" s="111"/>
      <c r="J4" s="111"/>
      <c r="K4" s="111"/>
      <c r="L4" s="111"/>
      <c r="M4" s="111"/>
      <c r="N4" s="111"/>
    </row>
    <row r="5" spans="1:14" ht="14.25">
      <c r="A5" s="113"/>
      <c r="C5" s="114"/>
      <c r="D5" s="111"/>
      <c r="E5" s="111"/>
      <c r="F5" s="115"/>
      <c r="G5" s="111"/>
      <c r="H5" s="111"/>
      <c r="I5" s="111"/>
      <c r="J5" s="111"/>
      <c r="K5" s="111"/>
      <c r="L5" s="111"/>
      <c r="M5" s="111"/>
      <c r="N5" s="111"/>
    </row>
    <row r="6" spans="1:14" ht="28.5" customHeight="1">
      <c r="A6" s="314" t="s">
        <v>407</v>
      </c>
      <c r="B6" s="314"/>
      <c r="C6" s="314"/>
      <c r="D6" s="314"/>
      <c r="E6" s="314"/>
      <c r="F6" s="314"/>
      <c r="G6" s="314"/>
      <c r="H6" s="314"/>
      <c r="I6" s="314"/>
      <c r="J6" s="314"/>
      <c r="K6" s="314"/>
      <c r="L6" s="314"/>
      <c r="M6" s="314"/>
      <c r="N6" s="314"/>
    </row>
    <row r="7" spans="1:14" ht="14.25">
      <c r="A7" s="113"/>
      <c r="C7" s="114"/>
      <c r="D7" s="111"/>
      <c r="E7" s="111"/>
      <c r="F7" s="115"/>
      <c r="G7" s="111"/>
      <c r="H7" s="111"/>
      <c r="I7" s="111"/>
      <c r="J7" s="111"/>
      <c r="K7" s="111"/>
      <c r="L7" s="111"/>
      <c r="M7" s="111"/>
      <c r="N7" s="111"/>
    </row>
    <row r="8" spans="1:14" ht="14.25">
      <c r="A8" s="113" t="s">
        <v>229</v>
      </c>
      <c r="C8" s="114"/>
      <c r="D8" s="111"/>
      <c r="E8" s="111"/>
      <c r="F8" s="115"/>
      <c r="G8" s="111"/>
      <c r="H8" s="111"/>
      <c r="I8" s="111"/>
      <c r="J8" s="111"/>
      <c r="K8" s="111"/>
      <c r="L8" s="111"/>
      <c r="M8" s="111"/>
      <c r="N8" s="111"/>
    </row>
    <row r="9" spans="1:14" ht="15" customHeight="1">
      <c r="A9" s="113"/>
      <c r="B9" s="107"/>
      <c r="C9" s="114"/>
      <c r="D9" s="111"/>
      <c r="E9" s="111"/>
      <c r="F9" s="115"/>
      <c r="G9" s="111"/>
      <c r="H9" s="111"/>
      <c r="I9" s="111"/>
      <c r="J9" s="111"/>
      <c r="K9" s="111"/>
      <c r="L9" s="111"/>
      <c r="M9" s="111"/>
      <c r="N9" s="111"/>
    </row>
    <row r="10" spans="1:17" ht="15" customHeight="1">
      <c r="A10" s="113"/>
      <c r="B10" s="291" t="s">
        <v>415</v>
      </c>
      <c r="C10" s="114" t="s">
        <v>230</v>
      </c>
      <c r="D10" s="111"/>
      <c r="E10" s="116"/>
      <c r="F10" s="117" t="s">
        <v>231</v>
      </c>
      <c r="G10" s="111"/>
      <c r="H10" s="111"/>
      <c r="I10" s="111"/>
      <c r="J10" s="111"/>
      <c r="K10" s="111"/>
      <c r="L10" s="111"/>
      <c r="M10" s="111"/>
      <c r="N10" s="111"/>
      <c r="Q10" s="118" t="str">
        <f>IF(COUNTA(B10)=1,criteria!I32,criteria!C32)</f>
        <v>Compliant </v>
      </c>
    </row>
    <row r="11" spans="1:14" ht="15" customHeight="1">
      <c r="A11" s="113"/>
      <c r="B11" s="107"/>
      <c r="C11" s="114"/>
      <c r="D11" s="111"/>
      <c r="E11" s="111"/>
      <c r="F11" s="115"/>
      <c r="G11" s="111"/>
      <c r="H11" s="111"/>
      <c r="I11" s="111"/>
      <c r="J11" s="111"/>
      <c r="K11" s="111"/>
      <c r="L11" s="111"/>
      <c r="M11" s="111"/>
      <c r="N11" s="111"/>
    </row>
    <row r="12" spans="1:14" ht="14.25">
      <c r="A12" s="113" t="s">
        <v>232</v>
      </c>
      <c r="B12" s="107"/>
      <c r="C12" s="114"/>
      <c r="D12" s="111"/>
      <c r="E12" s="111"/>
      <c r="F12" s="115"/>
      <c r="G12" s="111"/>
      <c r="H12" s="111"/>
      <c r="I12" s="111"/>
      <c r="J12" s="111"/>
      <c r="K12" s="111"/>
      <c r="L12" s="111"/>
      <c r="M12" s="111"/>
      <c r="N12" s="111"/>
    </row>
    <row r="13" spans="1:14" ht="14.25">
      <c r="A13" s="113" t="s">
        <v>233</v>
      </c>
      <c r="B13" s="107"/>
      <c r="C13" s="114"/>
      <c r="D13" s="111"/>
      <c r="E13" s="111"/>
      <c r="F13" s="115"/>
      <c r="G13" s="111"/>
      <c r="H13" s="111"/>
      <c r="I13" s="111"/>
      <c r="J13" s="113"/>
      <c r="K13" s="111"/>
      <c r="L13" s="111"/>
      <c r="M13" s="111"/>
      <c r="N13" s="111"/>
    </row>
    <row r="14" spans="1:14" ht="15" customHeight="1">
      <c r="A14" s="113"/>
      <c r="B14" s="107"/>
      <c r="C14" s="114"/>
      <c r="D14" s="111"/>
      <c r="E14" s="111"/>
      <c r="F14" s="115"/>
      <c r="G14" s="111"/>
      <c r="H14" s="111"/>
      <c r="I14" s="111"/>
      <c r="J14" s="111"/>
      <c r="K14" s="111"/>
      <c r="L14" s="111"/>
      <c r="M14" s="111"/>
      <c r="N14" s="111"/>
    </row>
    <row r="15" spans="1:17" ht="15" customHeight="1">
      <c r="A15" s="113"/>
      <c r="B15" s="291" t="s">
        <v>415</v>
      </c>
      <c r="C15" s="114" t="s">
        <v>230</v>
      </c>
      <c r="D15" s="111"/>
      <c r="E15" s="116"/>
      <c r="F15" s="117" t="s">
        <v>231</v>
      </c>
      <c r="G15" s="111"/>
      <c r="H15" s="111"/>
      <c r="I15" s="111"/>
      <c r="J15" s="111"/>
      <c r="K15" s="111"/>
      <c r="L15" s="111"/>
      <c r="M15" s="111"/>
      <c r="N15" s="111"/>
      <c r="Q15" s="118" t="str">
        <f>IF(COUNTA(B15)=1,criteria!I17,criteria!C17)</f>
        <v>Compliant </v>
      </c>
    </row>
    <row r="16" spans="1:14" ht="15" customHeight="1">
      <c r="A16" s="113"/>
      <c r="B16" s="107"/>
      <c r="C16" s="114"/>
      <c r="D16" s="111"/>
      <c r="E16" s="111"/>
      <c r="F16" s="115"/>
      <c r="G16" s="111"/>
      <c r="H16" s="111"/>
      <c r="I16" s="111"/>
      <c r="J16" s="111"/>
      <c r="K16" s="111"/>
      <c r="L16" s="111"/>
      <c r="M16" s="111"/>
      <c r="N16" s="111"/>
    </row>
    <row r="17" spans="1:14" ht="14.25">
      <c r="A17" s="119" t="s">
        <v>234</v>
      </c>
      <c r="B17" s="107"/>
      <c r="C17" s="114"/>
      <c r="D17" s="111"/>
      <c r="E17" s="111"/>
      <c r="F17" s="115"/>
      <c r="G17" s="111"/>
      <c r="H17" s="111"/>
      <c r="I17" s="111"/>
      <c r="J17" s="111"/>
      <c r="K17" s="111"/>
      <c r="L17" s="111"/>
      <c r="M17" s="111"/>
      <c r="N17" s="111"/>
    </row>
    <row r="18" spans="1:17" ht="15" customHeight="1">
      <c r="A18" s="113"/>
      <c r="B18" s="107"/>
      <c r="C18" s="114"/>
      <c r="D18" s="111"/>
      <c r="E18" s="111"/>
      <c r="F18" s="115"/>
      <c r="G18" s="111"/>
      <c r="H18" s="111"/>
      <c r="I18" s="111"/>
      <c r="J18" s="111"/>
      <c r="K18" s="111"/>
      <c r="L18" s="111"/>
      <c r="M18" s="111"/>
      <c r="N18" s="111"/>
      <c r="Q18" s="120" t="str">
        <f>IF(Q25=3,criteria!I23,IF(AND(Q19=1,Q25=2),criteria!G23,IF(AND(Q19=1,Q25=1),criteria!E23,criteria!C23)))</f>
        <v>Fully Compliant </v>
      </c>
    </row>
    <row r="19" spans="1:17" ht="15" customHeight="1">
      <c r="A19" s="113"/>
      <c r="B19" s="291" t="s">
        <v>415</v>
      </c>
      <c r="C19" s="114" t="s">
        <v>235</v>
      </c>
      <c r="D19" s="111"/>
      <c r="E19" s="111"/>
      <c r="F19" s="115"/>
      <c r="G19" s="111"/>
      <c r="H19" s="111"/>
      <c r="I19" s="111"/>
      <c r="J19" s="111"/>
      <c r="K19" s="111"/>
      <c r="L19" s="111"/>
      <c r="M19" s="111"/>
      <c r="N19" s="111"/>
      <c r="Q19" s="112">
        <f>IF(COUNTA(B19)=1,1,0)</f>
        <v>1</v>
      </c>
    </row>
    <row r="20" spans="1:14" ht="15" customHeight="1">
      <c r="A20" s="113"/>
      <c r="B20" s="121"/>
      <c r="C20" s="114" t="s">
        <v>236</v>
      </c>
      <c r="D20" s="111"/>
      <c r="E20" s="111"/>
      <c r="F20" s="115"/>
      <c r="G20" s="111"/>
      <c r="H20" s="111"/>
      <c r="I20" s="111"/>
      <c r="J20" s="111"/>
      <c r="K20" s="111"/>
      <c r="L20" s="111"/>
      <c r="M20" s="111"/>
      <c r="N20" s="111"/>
    </row>
    <row r="21" spans="1:14" ht="15" customHeight="1">
      <c r="A21" s="113"/>
      <c r="B21" s="107"/>
      <c r="C21" s="114"/>
      <c r="D21" s="111"/>
      <c r="E21" s="111"/>
      <c r="F21" s="115"/>
      <c r="G21" s="111"/>
      <c r="H21" s="111"/>
      <c r="I21" s="111"/>
      <c r="J21" s="111"/>
      <c r="K21" s="111"/>
      <c r="L21" s="111"/>
      <c r="M21" s="111"/>
      <c r="N21" s="111"/>
    </row>
    <row r="22" spans="1:17" ht="15" customHeight="1">
      <c r="A22" s="113"/>
      <c r="B22" s="291" t="s">
        <v>415</v>
      </c>
      <c r="C22" s="114" t="s">
        <v>237</v>
      </c>
      <c r="D22" s="111"/>
      <c r="E22" s="111"/>
      <c r="F22" s="115"/>
      <c r="G22" s="111"/>
      <c r="H22" s="111"/>
      <c r="I22" s="111"/>
      <c r="J22" s="111"/>
      <c r="K22" s="111"/>
      <c r="L22" s="111"/>
      <c r="M22" s="111"/>
      <c r="N22" s="111"/>
      <c r="Q22" s="112">
        <f>IF(COUNTA(B22)=1,1,0)</f>
        <v>1</v>
      </c>
    </row>
    <row r="23" spans="1:14" ht="15" customHeight="1">
      <c r="A23" s="113"/>
      <c r="B23" s="107"/>
      <c r="C23" s="114"/>
      <c r="D23" s="111"/>
      <c r="E23" s="111"/>
      <c r="F23" s="115"/>
      <c r="G23" s="111"/>
      <c r="H23" s="111"/>
      <c r="I23" s="111"/>
      <c r="J23" s="111"/>
      <c r="K23" s="111"/>
      <c r="L23" s="111"/>
      <c r="M23" s="111"/>
      <c r="N23" s="111"/>
    </row>
    <row r="24" spans="1:17" ht="15" customHeight="1">
      <c r="A24" s="113"/>
      <c r="B24" s="291" t="s">
        <v>415</v>
      </c>
      <c r="C24" s="114" t="s">
        <v>238</v>
      </c>
      <c r="D24" s="111"/>
      <c r="E24" s="111"/>
      <c r="F24" s="115"/>
      <c r="G24" s="111"/>
      <c r="H24" s="111"/>
      <c r="I24" s="111"/>
      <c r="J24" s="111"/>
      <c r="K24" s="111"/>
      <c r="L24" s="111"/>
      <c r="M24" s="111"/>
      <c r="N24" s="111"/>
      <c r="Q24" s="112">
        <f>IF(COUNTA(B24)=1,1,0)</f>
        <v>1</v>
      </c>
    </row>
    <row r="25" spans="1:17" ht="15" customHeight="1">
      <c r="A25" s="113"/>
      <c r="B25" s="107"/>
      <c r="C25" s="114"/>
      <c r="D25" s="111"/>
      <c r="E25" s="111"/>
      <c r="F25" s="115"/>
      <c r="G25" s="111"/>
      <c r="H25" s="111"/>
      <c r="I25" s="111"/>
      <c r="J25" s="111"/>
      <c r="K25" s="111"/>
      <c r="L25" s="111"/>
      <c r="M25" s="111"/>
      <c r="N25" s="111"/>
      <c r="Q25" s="112">
        <f>SUM(Q19:Q24)</f>
        <v>3</v>
      </c>
    </row>
    <row r="26" spans="1:14" ht="14.25">
      <c r="A26" s="113" t="s">
        <v>239</v>
      </c>
      <c r="B26" s="107"/>
      <c r="C26" s="114"/>
      <c r="D26" s="111"/>
      <c r="E26" s="111"/>
      <c r="F26" s="115"/>
      <c r="G26" s="111"/>
      <c r="H26" s="111"/>
      <c r="I26" s="111"/>
      <c r="J26" s="111"/>
      <c r="K26" s="111"/>
      <c r="L26" s="111"/>
      <c r="M26" s="111"/>
      <c r="N26" s="111"/>
    </row>
    <row r="27" spans="1:14" ht="14.25">
      <c r="A27" s="113"/>
      <c r="B27" s="107"/>
      <c r="C27" s="114"/>
      <c r="D27" s="111"/>
      <c r="E27" s="111"/>
      <c r="F27" s="115"/>
      <c r="G27" s="111"/>
      <c r="H27" s="111"/>
      <c r="I27" s="111"/>
      <c r="J27" s="111"/>
      <c r="K27" s="111"/>
      <c r="L27" s="111"/>
      <c r="M27" s="111"/>
      <c r="N27" s="111"/>
    </row>
    <row r="28" spans="1:14" ht="14.25">
      <c r="A28" s="122" t="s">
        <v>240</v>
      </c>
      <c r="B28" s="107"/>
      <c r="C28" s="114"/>
      <c r="D28" s="111"/>
      <c r="E28" s="111"/>
      <c r="F28" s="115"/>
      <c r="G28" s="111"/>
      <c r="H28" s="111"/>
      <c r="I28" s="111"/>
      <c r="J28" s="111"/>
      <c r="K28" s="111"/>
      <c r="L28" s="111"/>
      <c r="M28" s="111"/>
      <c r="N28" s="111"/>
    </row>
    <row r="29" spans="1:17" ht="15" customHeight="1">
      <c r="A29" s="113"/>
      <c r="B29" s="107"/>
      <c r="C29" s="114"/>
      <c r="D29" s="111"/>
      <c r="E29" s="111"/>
      <c r="F29" s="115"/>
      <c r="G29" s="111"/>
      <c r="H29" s="111"/>
      <c r="I29" s="111"/>
      <c r="J29" s="111"/>
      <c r="K29" s="111"/>
      <c r="L29" s="111"/>
      <c r="M29" s="111"/>
      <c r="N29" s="111"/>
      <c r="Q29" s="120" t="str">
        <f>IF(Q37=4,criteria!I28,IF(AND(Q37=3,Q36=0),criteria!G28,IF(AND(Q37&lt;3,Q30=1),criteria!E28,criteria!C28)))</f>
        <v>Fully Compliant </v>
      </c>
    </row>
    <row r="30" spans="1:17" ht="15" customHeight="1">
      <c r="A30" s="113"/>
      <c r="B30" s="291" t="s">
        <v>415</v>
      </c>
      <c r="C30" s="114" t="s">
        <v>241</v>
      </c>
      <c r="D30" s="111"/>
      <c r="E30" s="111"/>
      <c r="F30" s="115"/>
      <c r="G30" s="111"/>
      <c r="H30" s="111"/>
      <c r="I30" s="111"/>
      <c r="J30" s="111"/>
      <c r="K30" s="111"/>
      <c r="L30" s="111"/>
      <c r="M30" s="111"/>
      <c r="N30" s="111"/>
      <c r="Q30" s="112">
        <f>IF(COUNTA(B30)=1,1,0)</f>
        <v>1</v>
      </c>
    </row>
    <row r="31" spans="1:14" ht="15" customHeight="1">
      <c r="A31" s="113"/>
      <c r="B31" s="107"/>
      <c r="C31" s="114"/>
      <c r="D31" s="111"/>
      <c r="E31" s="111"/>
      <c r="F31" s="115"/>
      <c r="G31" s="111"/>
      <c r="H31" s="111"/>
      <c r="I31" s="111"/>
      <c r="J31" s="111"/>
      <c r="K31" s="111"/>
      <c r="L31" s="111"/>
      <c r="M31" s="111"/>
      <c r="N31" s="111"/>
    </row>
    <row r="32" spans="1:17" ht="15" customHeight="1">
      <c r="A32" s="113"/>
      <c r="B32" s="291" t="s">
        <v>415</v>
      </c>
      <c r="C32" s="114" t="s">
        <v>242</v>
      </c>
      <c r="D32" s="111"/>
      <c r="E32" s="111"/>
      <c r="F32" s="115"/>
      <c r="G32" s="111"/>
      <c r="H32" s="111"/>
      <c r="I32" s="111"/>
      <c r="J32" s="111"/>
      <c r="K32" s="111"/>
      <c r="L32" s="111"/>
      <c r="M32" s="111"/>
      <c r="N32" s="111"/>
      <c r="Q32" s="112">
        <f>IF(COUNTA(B32)=1,1,0)</f>
        <v>1</v>
      </c>
    </row>
    <row r="33" spans="1:14" ht="15" customHeight="1">
      <c r="A33" s="113"/>
      <c r="B33" s="107"/>
      <c r="C33" s="114"/>
      <c r="D33" s="111"/>
      <c r="E33" s="111"/>
      <c r="F33" s="115"/>
      <c r="G33" s="111"/>
      <c r="H33" s="111"/>
      <c r="I33" s="111"/>
      <c r="J33" s="111"/>
      <c r="K33" s="111"/>
      <c r="L33" s="111"/>
      <c r="M33" s="111"/>
      <c r="N33" s="111"/>
    </row>
    <row r="34" spans="1:17" ht="15" customHeight="1">
      <c r="A34" s="113"/>
      <c r="B34" s="291" t="s">
        <v>415</v>
      </c>
      <c r="C34" s="114" t="s">
        <v>243</v>
      </c>
      <c r="D34" s="111"/>
      <c r="E34" s="111"/>
      <c r="F34" s="115"/>
      <c r="G34" s="111"/>
      <c r="H34" s="111"/>
      <c r="I34" s="111"/>
      <c r="J34" s="111"/>
      <c r="K34" s="111"/>
      <c r="L34" s="111"/>
      <c r="M34" s="111"/>
      <c r="N34" s="111"/>
      <c r="Q34" s="112">
        <f>IF(COUNTA(B34)=1,1,0)</f>
        <v>1</v>
      </c>
    </row>
    <row r="35" spans="1:14" ht="15" customHeight="1">
      <c r="A35" s="113"/>
      <c r="B35" s="107"/>
      <c r="C35" s="114"/>
      <c r="D35" s="111"/>
      <c r="E35" s="111"/>
      <c r="F35" s="115"/>
      <c r="G35" s="111"/>
      <c r="H35" s="111"/>
      <c r="I35" s="111"/>
      <c r="J35" s="111"/>
      <c r="K35" s="111"/>
      <c r="L35" s="111"/>
      <c r="M35" s="111"/>
      <c r="N35" s="111"/>
    </row>
    <row r="36" spans="1:17" ht="15" customHeight="1">
      <c r="A36" s="113"/>
      <c r="B36" s="291" t="s">
        <v>415</v>
      </c>
      <c r="C36" s="114" t="s">
        <v>244</v>
      </c>
      <c r="D36" s="111"/>
      <c r="E36" s="111"/>
      <c r="F36" s="115"/>
      <c r="G36" s="111"/>
      <c r="H36" s="111"/>
      <c r="I36" s="111"/>
      <c r="J36" s="111"/>
      <c r="K36" s="111"/>
      <c r="L36" s="111"/>
      <c r="M36" s="111"/>
      <c r="N36" s="111"/>
      <c r="Q36" s="112">
        <f>IF(COUNTA(B36)=1,1,0)</f>
        <v>1</v>
      </c>
    </row>
    <row r="37" spans="1:17" ht="15" customHeight="1">
      <c r="A37" s="113"/>
      <c r="B37" s="107"/>
      <c r="C37" s="114"/>
      <c r="D37" s="111"/>
      <c r="E37" s="111"/>
      <c r="F37" s="115"/>
      <c r="G37" s="111"/>
      <c r="H37" s="111"/>
      <c r="I37" s="111"/>
      <c r="J37" s="111"/>
      <c r="K37" s="111"/>
      <c r="L37" s="111"/>
      <c r="M37" s="111"/>
      <c r="N37" s="111"/>
      <c r="Q37" s="112">
        <f>SUM(Q30:Q36)</f>
        <v>4</v>
      </c>
    </row>
    <row r="38" spans="1:14" ht="14.25">
      <c r="A38" s="122" t="s">
        <v>245</v>
      </c>
      <c r="B38" s="107"/>
      <c r="C38" s="114"/>
      <c r="D38" s="111"/>
      <c r="E38" s="111"/>
      <c r="F38" s="115"/>
      <c r="G38" s="111"/>
      <c r="H38" s="111"/>
      <c r="I38" s="111"/>
      <c r="J38" s="111"/>
      <c r="K38" s="111"/>
      <c r="L38" s="111"/>
      <c r="M38" s="111"/>
      <c r="N38" s="111"/>
    </row>
    <row r="39" spans="1:17" ht="15" customHeight="1">
      <c r="A39" s="113"/>
      <c r="B39" s="107"/>
      <c r="C39" s="114"/>
      <c r="D39" s="111"/>
      <c r="E39" s="111"/>
      <c r="F39" s="115"/>
      <c r="G39" s="111"/>
      <c r="H39" s="111"/>
      <c r="I39" s="111"/>
      <c r="J39" s="111"/>
      <c r="K39" s="111"/>
      <c r="L39" s="111"/>
      <c r="M39" s="111"/>
      <c r="N39" s="111"/>
      <c r="Q39" s="120" t="str">
        <f>IF(Q46=3,criteria!I29,IF(AND(Q40=1,Q46=2),criteria!G29,IF(AND(Q40=1,Q46=1),criteria!E29,criteria!C29)))</f>
        <v>Fully Compliant </v>
      </c>
    </row>
    <row r="40" spans="1:17" ht="15" customHeight="1">
      <c r="A40" s="113"/>
      <c r="B40" s="291" t="s">
        <v>415</v>
      </c>
      <c r="C40" s="114" t="s">
        <v>246</v>
      </c>
      <c r="D40" s="111"/>
      <c r="E40" s="111"/>
      <c r="F40" s="115"/>
      <c r="G40" s="111"/>
      <c r="H40" s="111"/>
      <c r="I40" s="111"/>
      <c r="J40" s="111"/>
      <c r="K40" s="111"/>
      <c r="L40" s="111"/>
      <c r="M40" s="111"/>
      <c r="N40" s="111"/>
      <c r="Q40" s="112">
        <f>IF(COUNTA(B40)=1,1,0)</f>
        <v>1</v>
      </c>
    </row>
    <row r="41" spans="1:14" ht="15" customHeight="1">
      <c r="A41" s="113"/>
      <c r="B41" s="121"/>
      <c r="C41" s="114" t="s">
        <v>247</v>
      </c>
      <c r="D41" s="111"/>
      <c r="E41" s="111"/>
      <c r="F41" s="115"/>
      <c r="G41" s="111"/>
      <c r="H41" s="111"/>
      <c r="I41" s="111"/>
      <c r="J41" s="111"/>
      <c r="K41" s="111"/>
      <c r="L41" s="111"/>
      <c r="M41" s="111"/>
      <c r="N41" s="111"/>
    </row>
    <row r="42" spans="1:14" ht="15" customHeight="1">
      <c r="A42" s="113"/>
      <c r="B42" s="107"/>
      <c r="C42" s="114"/>
      <c r="D42" s="111"/>
      <c r="E42" s="111"/>
      <c r="F42" s="115"/>
      <c r="G42" s="111"/>
      <c r="H42" s="111"/>
      <c r="I42" s="111"/>
      <c r="J42" s="111"/>
      <c r="K42" s="111"/>
      <c r="L42" s="111"/>
      <c r="M42" s="111"/>
      <c r="N42" s="111"/>
    </row>
    <row r="43" spans="1:17" ht="15" customHeight="1">
      <c r="A43" s="113"/>
      <c r="B43" s="291" t="s">
        <v>415</v>
      </c>
      <c r="C43" s="114" t="s">
        <v>248</v>
      </c>
      <c r="D43" s="111"/>
      <c r="E43" s="111"/>
      <c r="F43" s="115"/>
      <c r="G43" s="111"/>
      <c r="H43" s="111"/>
      <c r="I43" s="111"/>
      <c r="J43" s="111"/>
      <c r="K43" s="111"/>
      <c r="L43" s="111"/>
      <c r="M43" s="111"/>
      <c r="N43" s="111"/>
      <c r="Q43" s="112">
        <f>IF(COUNTA(B43)=1,1,0)</f>
        <v>1</v>
      </c>
    </row>
    <row r="44" spans="1:14" ht="15" customHeight="1">
      <c r="A44" s="113"/>
      <c r="B44" s="107"/>
      <c r="C44" s="114"/>
      <c r="D44" s="111"/>
      <c r="E44" s="111"/>
      <c r="F44" s="115"/>
      <c r="G44" s="111"/>
      <c r="H44" s="111"/>
      <c r="I44" s="111"/>
      <c r="J44" s="111"/>
      <c r="K44" s="111"/>
      <c r="L44" s="111"/>
      <c r="M44" s="111"/>
      <c r="N44" s="111"/>
    </row>
    <row r="45" spans="1:17" ht="15" customHeight="1">
      <c r="A45" s="113"/>
      <c r="B45" s="291" t="s">
        <v>415</v>
      </c>
      <c r="C45" s="114" t="s">
        <v>249</v>
      </c>
      <c r="D45" s="111"/>
      <c r="E45" s="111"/>
      <c r="F45" s="115"/>
      <c r="G45" s="111"/>
      <c r="H45" s="111"/>
      <c r="I45" s="111"/>
      <c r="J45" s="111"/>
      <c r="K45" s="111"/>
      <c r="L45" s="111"/>
      <c r="M45" s="111"/>
      <c r="N45" s="111"/>
      <c r="Q45" s="112">
        <f>IF(COUNTA(B45)=1,1,0)</f>
        <v>1</v>
      </c>
    </row>
    <row r="46" spans="1:17" ht="15" customHeight="1">
      <c r="A46" s="113"/>
      <c r="B46" s="107"/>
      <c r="C46" s="114"/>
      <c r="D46" s="111"/>
      <c r="E46" s="111"/>
      <c r="F46" s="115"/>
      <c r="G46" s="111"/>
      <c r="H46" s="111"/>
      <c r="I46" s="111"/>
      <c r="J46" s="111"/>
      <c r="K46" s="111"/>
      <c r="L46" s="111"/>
      <c r="M46" s="111"/>
      <c r="N46" s="111"/>
      <c r="Q46" s="112">
        <f>SUM(Q40:Q45)</f>
        <v>3</v>
      </c>
    </row>
    <row r="47" spans="1:14" ht="14.25">
      <c r="A47" s="113" t="s">
        <v>250</v>
      </c>
      <c r="B47" s="107"/>
      <c r="C47" s="114"/>
      <c r="D47" s="111"/>
      <c r="E47" s="111"/>
      <c r="F47" s="115"/>
      <c r="G47" s="111"/>
      <c r="H47" s="111"/>
      <c r="I47" s="111"/>
      <c r="J47" s="111"/>
      <c r="K47" s="111"/>
      <c r="L47" s="111"/>
      <c r="M47" s="111"/>
      <c r="N47" s="111"/>
    </row>
    <row r="48" spans="1:17" ht="14.25">
      <c r="A48" s="113" t="s">
        <v>251</v>
      </c>
      <c r="B48" s="107"/>
      <c r="C48" s="114"/>
      <c r="D48" s="111"/>
      <c r="E48" s="111"/>
      <c r="F48" s="115"/>
      <c r="G48" s="111"/>
      <c r="H48" s="111"/>
      <c r="I48" s="111"/>
      <c r="J48" s="111"/>
      <c r="K48" s="111"/>
      <c r="L48" s="111"/>
      <c r="M48" s="111"/>
      <c r="N48" s="111"/>
      <c r="Q48" s="120" t="str">
        <f>IF(Q55=3,criteria!I39,IF(AND(Q50=1,Q55=2),criteria!G39,IF(AND(Q50=1,Q55=1),criteria!E39,criteria!C39)))</f>
        <v>Fully Compliant </v>
      </c>
    </row>
    <row r="49" spans="1:14" ht="15" customHeight="1">
      <c r="A49" s="113"/>
      <c r="B49" s="107"/>
      <c r="C49" s="114"/>
      <c r="D49" s="111"/>
      <c r="E49" s="111"/>
      <c r="F49" s="115"/>
      <c r="G49" s="111"/>
      <c r="H49" s="111"/>
      <c r="I49" s="111"/>
      <c r="J49" s="111"/>
      <c r="K49" s="111"/>
      <c r="L49" s="111"/>
      <c r="M49" s="111"/>
      <c r="N49" s="111"/>
    </row>
    <row r="50" spans="1:17" ht="15" customHeight="1">
      <c r="A50" s="113"/>
      <c r="B50" s="291" t="s">
        <v>415</v>
      </c>
      <c r="C50" s="114" t="s">
        <v>252</v>
      </c>
      <c r="D50" s="111"/>
      <c r="E50" s="111"/>
      <c r="F50" s="115"/>
      <c r="G50" s="111"/>
      <c r="H50" s="111"/>
      <c r="I50" s="111"/>
      <c r="J50" s="111"/>
      <c r="K50" s="111"/>
      <c r="L50" s="111"/>
      <c r="M50" s="111"/>
      <c r="N50" s="111"/>
      <c r="Q50" s="112">
        <f>IF(COUNTA(B50)=1,1,0)</f>
        <v>1</v>
      </c>
    </row>
    <row r="51" spans="1:14" ht="15" customHeight="1">
      <c r="A51" s="113"/>
      <c r="B51" s="107"/>
      <c r="C51" s="114"/>
      <c r="D51" s="111"/>
      <c r="E51" s="111"/>
      <c r="F51" s="115"/>
      <c r="G51" s="111"/>
      <c r="H51" s="111"/>
      <c r="I51" s="111"/>
      <c r="J51" s="111"/>
      <c r="K51" s="111"/>
      <c r="L51" s="111"/>
      <c r="M51" s="111"/>
      <c r="N51" s="111"/>
    </row>
    <row r="52" spans="1:17" ht="15" customHeight="1">
      <c r="A52" s="113"/>
      <c r="B52" s="291" t="s">
        <v>415</v>
      </c>
      <c r="C52" s="114" t="s">
        <v>253</v>
      </c>
      <c r="D52" s="111"/>
      <c r="E52" s="111"/>
      <c r="F52" s="115"/>
      <c r="G52" s="111"/>
      <c r="H52" s="111"/>
      <c r="I52" s="111"/>
      <c r="J52" s="111"/>
      <c r="K52" s="111"/>
      <c r="L52" s="111"/>
      <c r="M52" s="111"/>
      <c r="N52" s="111"/>
      <c r="Q52" s="112">
        <f>IF(COUNTA(B52)=1,1,0)</f>
        <v>1</v>
      </c>
    </row>
    <row r="53" spans="1:14" ht="15" customHeight="1">
      <c r="A53" s="113"/>
      <c r="B53" s="107"/>
      <c r="C53" s="114"/>
      <c r="D53" s="111"/>
      <c r="E53" s="111"/>
      <c r="F53" s="115"/>
      <c r="G53" s="111"/>
      <c r="H53" s="111"/>
      <c r="I53" s="111"/>
      <c r="J53" s="111"/>
      <c r="K53" s="111"/>
      <c r="L53" s="111"/>
      <c r="M53" s="111"/>
      <c r="N53" s="111"/>
    </row>
    <row r="54" spans="1:17" ht="15" customHeight="1">
      <c r="A54" s="113"/>
      <c r="B54" s="291" t="s">
        <v>415</v>
      </c>
      <c r="C54" s="114" t="s">
        <v>254</v>
      </c>
      <c r="D54" s="111"/>
      <c r="E54" s="111"/>
      <c r="F54" s="115"/>
      <c r="G54" s="111"/>
      <c r="H54" s="111"/>
      <c r="I54" s="111"/>
      <c r="J54" s="111"/>
      <c r="K54" s="111"/>
      <c r="L54" s="111"/>
      <c r="M54" s="111"/>
      <c r="N54" s="111"/>
      <c r="Q54" s="112">
        <f>IF(COUNTA(B54)=1,1,0)</f>
        <v>1</v>
      </c>
    </row>
    <row r="55" spans="1:17" ht="15" customHeight="1">
      <c r="A55" s="113"/>
      <c r="B55" s="123"/>
      <c r="C55" s="114"/>
      <c r="D55" s="111"/>
      <c r="E55" s="111"/>
      <c r="F55" s="115"/>
      <c r="G55" s="111"/>
      <c r="H55" s="111"/>
      <c r="I55" s="111"/>
      <c r="J55" s="111"/>
      <c r="K55" s="111"/>
      <c r="L55" s="111"/>
      <c r="M55" s="111"/>
      <c r="N55" s="111"/>
      <c r="Q55" s="112">
        <f>SUM(Q50:Q54)</f>
        <v>3</v>
      </c>
    </row>
    <row r="56" spans="1:14" ht="14.25">
      <c r="A56" s="113" t="s">
        <v>255</v>
      </c>
      <c r="B56" s="107"/>
      <c r="C56" s="114"/>
      <c r="D56" s="111"/>
      <c r="E56" s="111"/>
      <c r="F56" s="115"/>
      <c r="G56" s="111"/>
      <c r="H56" s="111"/>
      <c r="I56" s="111"/>
      <c r="J56" s="111"/>
      <c r="K56" s="111"/>
      <c r="L56" s="111"/>
      <c r="M56" s="111"/>
      <c r="N56" s="111"/>
    </row>
    <row r="57" spans="1:17" ht="14.25">
      <c r="A57" s="113" t="s">
        <v>256</v>
      </c>
      <c r="B57" s="107"/>
      <c r="C57" s="114"/>
      <c r="D57" s="111"/>
      <c r="E57" s="111"/>
      <c r="F57" s="115"/>
      <c r="G57" s="111"/>
      <c r="H57" s="111"/>
      <c r="I57" s="111"/>
      <c r="J57" s="111"/>
      <c r="K57" s="111"/>
      <c r="L57" s="111"/>
      <c r="M57" s="111"/>
      <c r="N57" s="111"/>
      <c r="Q57" s="120" t="str">
        <f>IF(Q66=4,criteria!I40,IF(AND(Q59=1,Q66=3),criteria!G40,IF(AND(Q59=1,Q66=2),criteria!E40,criteria!C40)))</f>
        <v>Fully Compliant </v>
      </c>
    </row>
    <row r="58" spans="1:14" ht="15" customHeight="1">
      <c r="A58" s="113"/>
      <c r="B58" s="107"/>
      <c r="C58" s="114"/>
      <c r="D58" s="111"/>
      <c r="E58" s="111"/>
      <c r="F58" s="115"/>
      <c r="G58" s="111"/>
      <c r="H58" s="111"/>
      <c r="I58" s="111"/>
      <c r="J58" s="111"/>
      <c r="K58" s="111"/>
      <c r="L58" s="111"/>
      <c r="M58" s="111"/>
      <c r="N58" s="111"/>
    </row>
    <row r="59" spans="1:17" ht="15" customHeight="1">
      <c r="A59" s="113"/>
      <c r="B59" s="291" t="s">
        <v>415</v>
      </c>
      <c r="C59" s="114" t="s">
        <v>257</v>
      </c>
      <c r="D59" s="111"/>
      <c r="E59" s="111"/>
      <c r="F59" s="115"/>
      <c r="G59" s="111"/>
      <c r="H59" s="111"/>
      <c r="I59" s="111"/>
      <c r="J59" s="111"/>
      <c r="K59" s="111"/>
      <c r="L59" s="111"/>
      <c r="M59" s="111"/>
      <c r="N59" s="111"/>
      <c r="Q59" s="112">
        <f>IF(COUNTA(B59)=1,1,0)</f>
        <v>1</v>
      </c>
    </row>
    <row r="60" spans="1:14" ht="15" customHeight="1">
      <c r="A60" s="113"/>
      <c r="B60" s="107"/>
      <c r="C60" s="114"/>
      <c r="D60" s="111"/>
      <c r="E60" s="111"/>
      <c r="F60" s="115"/>
      <c r="G60" s="111"/>
      <c r="H60" s="111"/>
      <c r="I60" s="111"/>
      <c r="J60" s="111"/>
      <c r="K60" s="111"/>
      <c r="L60" s="111"/>
      <c r="M60" s="111"/>
      <c r="N60" s="111"/>
    </row>
    <row r="61" spans="1:17" ht="15" customHeight="1">
      <c r="A61" s="113"/>
      <c r="B61" s="291" t="s">
        <v>415</v>
      </c>
      <c r="C61" s="114" t="s">
        <v>258</v>
      </c>
      <c r="D61" s="111"/>
      <c r="E61" s="111"/>
      <c r="F61" s="115"/>
      <c r="G61" s="111"/>
      <c r="H61" s="111"/>
      <c r="I61" s="111"/>
      <c r="J61" s="111"/>
      <c r="K61" s="111"/>
      <c r="L61" s="111"/>
      <c r="M61" s="111"/>
      <c r="N61" s="111"/>
      <c r="Q61" s="112">
        <f>IF(COUNTA(B61)=1,1,0)</f>
        <v>1</v>
      </c>
    </row>
    <row r="62" spans="1:14" ht="15" customHeight="1">
      <c r="A62" s="113"/>
      <c r="B62" s="107"/>
      <c r="C62" s="114"/>
      <c r="D62" s="111"/>
      <c r="E62" s="111"/>
      <c r="F62" s="115"/>
      <c r="G62" s="111"/>
      <c r="H62" s="111"/>
      <c r="I62" s="111"/>
      <c r="J62" s="111"/>
      <c r="K62" s="111"/>
      <c r="L62" s="111"/>
      <c r="M62" s="111"/>
      <c r="N62" s="111"/>
    </row>
    <row r="63" spans="1:17" ht="15" customHeight="1">
      <c r="A63" s="113"/>
      <c r="B63" s="291" t="s">
        <v>415</v>
      </c>
      <c r="C63" s="114" t="s">
        <v>259</v>
      </c>
      <c r="D63" s="111"/>
      <c r="E63" s="111"/>
      <c r="F63" s="115"/>
      <c r="G63" s="111"/>
      <c r="H63" s="111"/>
      <c r="I63" s="111"/>
      <c r="J63" s="111"/>
      <c r="K63" s="111"/>
      <c r="L63" s="111"/>
      <c r="M63" s="111"/>
      <c r="N63" s="111"/>
      <c r="Q63" s="112">
        <f>IF(COUNTA(B63)=1,1,0)</f>
        <v>1</v>
      </c>
    </row>
    <row r="64" spans="1:14" ht="15" customHeight="1">
      <c r="A64" s="113"/>
      <c r="B64" s="107"/>
      <c r="C64" s="114"/>
      <c r="D64" s="111"/>
      <c r="E64" s="111"/>
      <c r="F64" s="115"/>
      <c r="G64" s="111"/>
      <c r="H64" s="111"/>
      <c r="I64" s="111"/>
      <c r="J64" s="111"/>
      <c r="K64" s="111"/>
      <c r="L64" s="111"/>
      <c r="M64" s="111"/>
      <c r="N64" s="111"/>
    </row>
    <row r="65" spans="1:17" ht="15" customHeight="1">
      <c r="A65" s="113"/>
      <c r="B65" s="291" t="s">
        <v>415</v>
      </c>
      <c r="C65" s="114" t="s">
        <v>260</v>
      </c>
      <c r="D65" s="111"/>
      <c r="E65" s="111"/>
      <c r="F65" s="115"/>
      <c r="G65" s="111"/>
      <c r="H65" s="111"/>
      <c r="I65" s="111"/>
      <c r="J65" s="111"/>
      <c r="K65" s="111"/>
      <c r="L65" s="111"/>
      <c r="M65" s="111"/>
      <c r="N65" s="111"/>
      <c r="Q65" s="112">
        <f>IF(COUNTA(B65)=1,1,0)</f>
        <v>1</v>
      </c>
    </row>
    <row r="66" spans="1:17" ht="15" customHeight="1">
      <c r="A66" s="113"/>
      <c r="B66" s="107"/>
      <c r="C66" s="114"/>
      <c r="D66" s="111"/>
      <c r="E66" s="111"/>
      <c r="F66" s="115"/>
      <c r="G66" s="111"/>
      <c r="H66" s="111"/>
      <c r="I66" s="111"/>
      <c r="J66" s="111"/>
      <c r="K66" s="111"/>
      <c r="L66" s="111"/>
      <c r="M66" s="111"/>
      <c r="N66" s="111"/>
      <c r="Q66" s="112">
        <f>SUM(Q59:Q65)</f>
        <v>4</v>
      </c>
    </row>
    <row r="67" spans="1:14" ht="15" customHeight="1">
      <c r="A67" s="113" t="s">
        <v>261</v>
      </c>
      <c r="B67" s="107"/>
      <c r="C67" s="114"/>
      <c r="D67" s="111"/>
      <c r="E67" s="111"/>
      <c r="F67" s="115"/>
      <c r="G67" s="111"/>
      <c r="H67" s="111"/>
      <c r="I67" s="111"/>
      <c r="J67" s="111"/>
      <c r="K67" s="111"/>
      <c r="L67" s="111"/>
      <c r="M67" s="111"/>
      <c r="N67" s="111"/>
    </row>
    <row r="68" spans="1:17" ht="15" customHeight="1">
      <c r="A68" s="113"/>
      <c r="B68" s="107"/>
      <c r="C68" s="114"/>
      <c r="D68" s="111"/>
      <c r="E68" s="111"/>
      <c r="F68" s="115"/>
      <c r="G68" s="111"/>
      <c r="H68" s="111"/>
      <c r="I68" s="111"/>
      <c r="J68" s="111"/>
      <c r="K68" s="111"/>
      <c r="L68" s="111"/>
      <c r="M68" s="111"/>
      <c r="N68" s="111"/>
      <c r="Q68" s="120" t="str">
        <f>IF(Q75=3,criteria!I55,IF(AND(Q69=1,Q75=2),criteria!G55,IF(AND(Q69=1,Q75=1),criteria!E55,criteria!C55)))</f>
        <v>Fully Compliant </v>
      </c>
    </row>
    <row r="69" spans="1:17" ht="15" customHeight="1">
      <c r="A69" s="113"/>
      <c r="B69" s="291" t="s">
        <v>415</v>
      </c>
      <c r="C69" s="114" t="s">
        <v>262</v>
      </c>
      <c r="D69" s="111"/>
      <c r="E69" s="111"/>
      <c r="F69" s="115"/>
      <c r="G69" s="111"/>
      <c r="H69" s="111"/>
      <c r="I69" s="111"/>
      <c r="J69" s="111"/>
      <c r="K69" s="111"/>
      <c r="L69" s="111"/>
      <c r="M69" s="111"/>
      <c r="N69" s="111"/>
      <c r="Q69" s="112">
        <f>IF(COUNTA(B69)=1,1,0)</f>
        <v>1</v>
      </c>
    </row>
    <row r="70" spans="1:14" ht="15" customHeight="1">
      <c r="A70" s="113"/>
      <c r="B70" s="123"/>
      <c r="C70" s="114" t="s">
        <v>263</v>
      </c>
      <c r="D70" s="111"/>
      <c r="E70" s="111"/>
      <c r="F70" s="115"/>
      <c r="G70" s="111"/>
      <c r="H70" s="111"/>
      <c r="I70" s="111"/>
      <c r="J70" s="111"/>
      <c r="K70" s="111"/>
      <c r="L70" s="111"/>
      <c r="M70" s="111"/>
      <c r="N70" s="111"/>
    </row>
    <row r="71" spans="1:14" ht="15" customHeight="1">
      <c r="A71" s="113"/>
      <c r="B71" s="107"/>
      <c r="C71" s="114"/>
      <c r="D71" s="111"/>
      <c r="E71" s="111"/>
      <c r="F71" s="115"/>
      <c r="G71" s="111"/>
      <c r="H71" s="111"/>
      <c r="I71" s="111"/>
      <c r="J71" s="111"/>
      <c r="K71" s="111"/>
      <c r="L71" s="111"/>
      <c r="M71" s="111"/>
      <c r="N71" s="111"/>
    </row>
    <row r="72" spans="1:17" ht="15" customHeight="1">
      <c r="A72" s="113"/>
      <c r="B72" s="291" t="s">
        <v>415</v>
      </c>
      <c r="C72" s="114" t="s">
        <v>264</v>
      </c>
      <c r="D72" s="111"/>
      <c r="E72" s="111"/>
      <c r="F72" s="115"/>
      <c r="G72" s="111"/>
      <c r="H72" s="111"/>
      <c r="I72" s="111"/>
      <c r="J72" s="111"/>
      <c r="K72" s="111"/>
      <c r="L72" s="111"/>
      <c r="M72" s="111"/>
      <c r="N72" s="111"/>
      <c r="Q72" s="112">
        <f>IF(COUNTA(B72)=1,1,0)</f>
        <v>1</v>
      </c>
    </row>
    <row r="73" spans="1:14" ht="15" customHeight="1">
      <c r="A73" s="113"/>
      <c r="B73" s="107"/>
      <c r="C73" s="114"/>
      <c r="D73" s="111"/>
      <c r="E73" s="111"/>
      <c r="F73" s="115"/>
      <c r="G73" s="111"/>
      <c r="H73" s="111"/>
      <c r="I73" s="111"/>
      <c r="J73" s="111"/>
      <c r="K73" s="111"/>
      <c r="L73" s="111"/>
      <c r="M73" s="111"/>
      <c r="N73" s="111"/>
    </row>
    <row r="74" spans="1:17" ht="15" customHeight="1">
      <c r="A74" s="113"/>
      <c r="B74" s="291" t="s">
        <v>415</v>
      </c>
      <c r="C74" s="114" t="s">
        <v>265</v>
      </c>
      <c r="D74" s="111"/>
      <c r="E74" s="111"/>
      <c r="F74" s="115"/>
      <c r="G74" s="111"/>
      <c r="H74" s="111"/>
      <c r="I74" s="111"/>
      <c r="J74" s="111"/>
      <c r="K74" s="111"/>
      <c r="L74" s="111"/>
      <c r="M74" s="111"/>
      <c r="N74" s="111"/>
      <c r="Q74" s="112">
        <f>IF(COUNTA(B74)=1,1,0)</f>
        <v>1</v>
      </c>
    </row>
    <row r="75" spans="1:17" ht="15" customHeight="1">
      <c r="A75" s="113"/>
      <c r="B75" s="107"/>
      <c r="C75" s="114"/>
      <c r="D75" s="111"/>
      <c r="E75" s="111"/>
      <c r="F75" s="115"/>
      <c r="G75" s="111"/>
      <c r="H75" s="111"/>
      <c r="I75" s="111"/>
      <c r="J75" s="111"/>
      <c r="K75" s="111"/>
      <c r="L75" s="111"/>
      <c r="M75" s="111"/>
      <c r="N75" s="111"/>
      <c r="Q75" s="112">
        <f>SUM(Q69:Q74)</f>
        <v>3</v>
      </c>
    </row>
    <row r="76" spans="1:14" ht="15" customHeight="1">
      <c r="A76" s="113" t="s">
        <v>266</v>
      </c>
      <c r="B76" s="107"/>
      <c r="C76" s="114"/>
      <c r="D76" s="111"/>
      <c r="E76" s="111"/>
      <c r="F76" s="115"/>
      <c r="G76" s="111"/>
      <c r="H76" s="111"/>
      <c r="I76" s="111"/>
      <c r="J76" s="111"/>
      <c r="K76" s="111"/>
      <c r="L76" s="111"/>
      <c r="M76" s="111"/>
      <c r="N76" s="111"/>
    </row>
    <row r="77" spans="1:17" ht="14.25">
      <c r="A77" s="113"/>
      <c r="B77" s="107"/>
      <c r="C77" s="114"/>
      <c r="D77" s="111"/>
      <c r="E77" s="111"/>
      <c r="F77" s="115"/>
      <c r="G77" s="111"/>
      <c r="H77" s="111"/>
      <c r="I77" s="111"/>
      <c r="J77" s="111"/>
      <c r="K77" s="111"/>
      <c r="L77" s="111"/>
      <c r="M77" s="111"/>
      <c r="N77" s="111"/>
      <c r="Q77" s="118" t="str">
        <f>IF(COUNTA(B78)=1,criteria!I56,IF(ISERROR(Q81),criteria!C56,Q81))</f>
        <v>Between 91.00-100%</v>
      </c>
    </row>
    <row r="78" spans="1:17" ht="15" customHeight="1">
      <c r="A78" s="113"/>
      <c r="B78" s="291" t="s">
        <v>415</v>
      </c>
      <c r="C78" s="114" t="s">
        <v>230</v>
      </c>
      <c r="D78" s="111"/>
      <c r="E78" s="116"/>
      <c r="F78" s="117" t="s">
        <v>231</v>
      </c>
      <c r="G78" s="111"/>
      <c r="H78" s="111"/>
      <c r="I78" s="111"/>
      <c r="J78" s="111"/>
      <c r="K78" s="111"/>
      <c r="L78" s="111"/>
      <c r="M78" s="111"/>
      <c r="N78" s="111"/>
      <c r="Q78" s="112" t="str">
        <f>IF(COUNTA(E78,D81,G81)=1,criteria!I56,criteria!C56)</f>
        <v>Less than 60.00% Trained</v>
      </c>
    </row>
    <row r="79" spans="1:14" ht="14.25">
      <c r="A79" s="113"/>
      <c r="B79" s="107"/>
      <c r="C79" s="114"/>
      <c r="D79" s="111"/>
      <c r="E79" s="111"/>
      <c r="F79" s="115"/>
      <c r="G79" s="111"/>
      <c r="H79" s="111"/>
      <c r="I79" s="111"/>
      <c r="J79" s="111"/>
      <c r="K79" s="111"/>
      <c r="L79" s="111"/>
      <c r="M79" s="111"/>
      <c r="N79" s="111"/>
    </row>
    <row r="80" spans="1:17" ht="14.25">
      <c r="A80" s="113"/>
      <c r="B80" s="107"/>
      <c r="C80" s="114" t="s">
        <v>267</v>
      </c>
      <c r="D80" s="111"/>
      <c r="E80" s="111"/>
      <c r="F80" s="115"/>
      <c r="G80" s="111"/>
      <c r="H80" s="111"/>
      <c r="I80" s="111"/>
      <c r="J80" s="111"/>
      <c r="K80" s="111"/>
      <c r="L80" s="111"/>
      <c r="M80" s="111"/>
      <c r="N80" s="111"/>
      <c r="Q80" s="111" t="e">
        <f>D81/G81</f>
        <v>#DIV/0!</v>
      </c>
    </row>
    <row r="81" spans="1:17" ht="14.25">
      <c r="A81" s="113"/>
      <c r="B81" s="107"/>
      <c r="C81" s="114" t="s">
        <v>268</v>
      </c>
      <c r="D81" s="310"/>
      <c r="E81" s="310"/>
      <c r="F81" s="117" t="s">
        <v>269</v>
      </c>
      <c r="G81" s="309"/>
      <c r="H81" s="309"/>
      <c r="I81" s="111"/>
      <c r="J81" s="111"/>
      <c r="K81" s="111"/>
      <c r="L81" s="111"/>
      <c r="M81" s="111"/>
      <c r="N81" s="111"/>
      <c r="Q81" s="112" t="e">
        <f>IF(OR(Q80=0,Q80&lt;0.6),criteria!C56,IF(AND(Q80&gt;=0.6,Q80&lt;0.76),criteria!E56,IF(AND(Q80&gt;=0.76,Q80&lt;0.91),criteria!G56,IF(Q80&lt;=1,criteria!I56,criteria!C56))))</f>
        <v>#DIV/0!</v>
      </c>
    </row>
    <row r="82" spans="1:14" ht="14.25">
      <c r="A82" s="113"/>
      <c r="B82" s="107"/>
      <c r="C82" s="114"/>
      <c r="D82" s="111"/>
      <c r="E82" s="111"/>
      <c r="F82" s="115"/>
      <c r="G82" s="111"/>
      <c r="H82" s="111"/>
      <c r="I82" s="111"/>
      <c r="J82" s="111"/>
      <c r="K82" s="111"/>
      <c r="L82" s="111"/>
      <c r="M82" s="111"/>
      <c r="N82" s="111"/>
    </row>
    <row r="83" spans="1:14" ht="14.25">
      <c r="A83" s="119" t="s">
        <v>270</v>
      </c>
      <c r="B83" s="107"/>
      <c r="C83" s="114"/>
      <c r="D83" s="111"/>
      <c r="E83" s="111"/>
      <c r="F83" s="115"/>
      <c r="G83" s="111"/>
      <c r="H83" s="111"/>
      <c r="I83" s="111"/>
      <c r="J83" s="111"/>
      <c r="K83" s="111"/>
      <c r="L83" s="111"/>
      <c r="M83" s="111"/>
      <c r="N83" s="111"/>
    </row>
    <row r="84" spans="1:14" ht="14.25">
      <c r="A84" s="113"/>
      <c r="B84" s="107"/>
      <c r="C84" s="114"/>
      <c r="D84" s="111"/>
      <c r="E84" s="111"/>
      <c r="F84" s="115"/>
      <c r="G84" s="111"/>
      <c r="H84" s="111"/>
      <c r="I84" s="111"/>
      <c r="J84" s="111"/>
      <c r="K84" s="111"/>
      <c r="L84" s="111"/>
      <c r="M84" s="111"/>
      <c r="N84" s="111"/>
    </row>
    <row r="85" spans="1:17" ht="15" customHeight="1">
      <c r="A85" s="113"/>
      <c r="B85" s="291" t="s">
        <v>415</v>
      </c>
      <c r="C85" s="114" t="s">
        <v>230</v>
      </c>
      <c r="D85" s="111"/>
      <c r="E85" s="116"/>
      <c r="F85" s="117" t="s">
        <v>231</v>
      </c>
      <c r="G85" s="111"/>
      <c r="H85" s="111"/>
      <c r="I85" s="111"/>
      <c r="J85" s="111"/>
      <c r="K85" s="111"/>
      <c r="L85" s="111"/>
      <c r="M85" s="111"/>
      <c r="N85" s="111"/>
      <c r="Q85" s="118" t="str">
        <f>IF(AND(COUNTA(B85)=1,Q87&gt;=1),criteria!I57,criteria!C57)</f>
        <v>Not Compliant </v>
      </c>
    </row>
    <row r="86" spans="1:14" ht="14.25">
      <c r="A86" s="113"/>
      <c r="B86" s="107"/>
      <c r="C86" s="114"/>
      <c r="D86" s="111"/>
      <c r="E86" s="111"/>
      <c r="F86" s="115"/>
      <c r="G86" s="111"/>
      <c r="H86" s="111"/>
      <c r="I86" s="111"/>
      <c r="J86" s="111"/>
      <c r="K86" s="111"/>
      <c r="L86" s="111"/>
      <c r="M86" s="111"/>
      <c r="N86" s="111"/>
    </row>
    <row r="87" spans="1:17" ht="14.25">
      <c r="A87" s="113"/>
      <c r="B87" s="107"/>
      <c r="C87" s="114" t="s">
        <v>271</v>
      </c>
      <c r="D87" s="111"/>
      <c r="E87" s="111"/>
      <c r="F87" s="309"/>
      <c r="G87" s="309"/>
      <c r="H87" s="114" t="s">
        <v>272</v>
      </c>
      <c r="I87" s="111"/>
      <c r="J87" s="111"/>
      <c r="K87" s="111"/>
      <c r="L87" s="111"/>
      <c r="M87" s="111"/>
      <c r="N87" s="111"/>
      <c r="Q87" s="112">
        <f>F87</f>
        <v>0</v>
      </c>
    </row>
    <row r="88" spans="1:14" ht="14.25">
      <c r="A88" s="113"/>
      <c r="B88" s="107"/>
      <c r="C88" s="114"/>
      <c r="D88" s="111"/>
      <c r="E88" s="111"/>
      <c r="F88" s="115"/>
      <c r="G88" s="111"/>
      <c r="H88" s="111"/>
      <c r="I88" s="111"/>
      <c r="J88" s="111"/>
      <c r="K88" s="111"/>
      <c r="L88" s="111"/>
      <c r="M88" s="111"/>
      <c r="N88" s="111"/>
    </row>
    <row r="89" spans="1:14" ht="14.25">
      <c r="A89" s="113" t="s">
        <v>273</v>
      </c>
      <c r="B89" s="107"/>
      <c r="C89" s="114"/>
      <c r="D89" s="111"/>
      <c r="E89" s="111"/>
      <c r="F89" s="115"/>
      <c r="G89" s="111"/>
      <c r="H89" s="111"/>
      <c r="I89" s="111"/>
      <c r="J89" s="111"/>
      <c r="K89" s="111"/>
      <c r="L89" s="111"/>
      <c r="M89" s="111"/>
      <c r="N89" s="111"/>
    </row>
    <row r="90" spans="1:17" ht="14.25">
      <c r="A90" s="113" t="s">
        <v>274</v>
      </c>
      <c r="B90" s="107"/>
      <c r="C90" s="114"/>
      <c r="D90" s="111"/>
      <c r="E90" s="111"/>
      <c r="F90" s="115"/>
      <c r="G90" s="111"/>
      <c r="H90" s="111"/>
      <c r="I90" s="111"/>
      <c r="J90" s="111"/>
      <c r="K90" s="111"/>
      <c r="L90" s="111"/>
      <c r="M90" s="111"/>
      <c r="N90" s="111"/>
      <c r="Q90" s="120" t="str">
        <f>IF(Q99=3,criteria!I60,IF(Q99=2,criteria!G60,IF(Q99=1,criteria!E60,criteria!C60)))</f>
        <v>Fully Compliant </v>
      </c>
    </row>
    <row r="91" spans="1:14" ht="15" customHeight="1">
      <c r="A91" s="113"/>
      <c r="B91" s="107"/>
      <c r="C91" s="114"/>
      <c r="D91" s="111"/>
      <c r="E91" s="111"/>
      <c r="F91" s="115"/>
      <c r="G91" s="111"/>
      <c r="H91" s="111"/>
      <c r="I91" s="111"/>
      <c r="J91" s="111"/>
      <c r="K91" s="111"/>
      <c r="L91" s="111"/>
      <c r="M91" s="111"/>
      <c r="N91" s="111"/>
    </row>
    <row r="92" spans="1:17" ht="15" customHeight="1">
      <c r="A92" s="113"/>
      <c r="B92" s="291" t="s">
        <v>415</v>
      </c>
      <c r="C92" s="114" t="s">
        <v>275</v>
      </c>
      <c r="D92" s="111"/>
      <c r="E92" s="111"/>
      <c r="F92" s="115"/>
      <c r="G92" s="111"/>
      <c r="H92" s="111"/>
      <c r="I92" s="111"/>
      <c r="J92" s="111"/>
      <c r="K92" s="111"/>
      <c r="L92" s="111"/>
      <c r="M92" s="111"/>
      <c r="N92" s="111"/>
      <c r="Q92" s="112">
        <f>IF(COUNTA(B92)=1,1,0)</f>
        <v>1</v>
      </c>
    </row>
    <row r="93" spans="1:14" ht="15" customHeight="1">
      <c r="A93" s="113"/>
      <c r="B93" s="107"/>
      <c r="C93" s="114" t="s">
        <v>276</v>
      </c>
      <c r="D93" s="111"/>
      <c r="E93" s="111"/>
      <c r="F93" s="115"/>
      <c r="G93" s="111"/>
      <c r="H93" s="111"/>
      <c r="I93" s="111"/>
      <c r="J93" s="111"/>
      <c r="K93" s="111"/>
      <c r="L93" s="111"/>
      <c r="M93" s="111"/>
      <c r="N93" s="111"/>
    </row>
    <row r="94" spans="1:14" ht="15" customHeight="1">
      <c r="A94" s="113"/>
      <c r="B94" s="107"/>
      <c r="C94" s="114"/>
      <c r="D94" s="111"/>
      <c r="E94" s="111"/>
      <c r="F94" s="115"/>
      <c r="G94" s="111"/>
      <c r="H94" s="111"/>
      <c r="I94" s="111"/>
      <c r="J94" s="111"/>
      <c r="K94" s="111"/>
      <c r="L94" s="111"/>
      <c r="M94" s="111"/>
      <c r="N94" s="111"/>
    </row>
    <row r="95" spans="1:17" ht="15" customHeight="1">
      <c r="A95" s="113"/>
      <c r="B95" s="291" t="s">
        <v>415</v>
      </c>
      <c r="C95" s="114" t="s">
        <v>277</v>
      </c>
      <c r="D95" s="111"/>
      <c r="E95" s="111"/>
      <c r="F95" s="115"/>
      <c r="G95" s="111"/>
      <c r="H95" s="111"/>
      <c r="I95" s="111"/>
      <c r="J95" s="111"/>
      <c r="K95" s="111"/>
      <c r="L95" s="111"/>
      <c r="M95" s="111"/>
      <c r="N95" s="111"/>
      <c r="Q95" s="112">
        <f>IF(COUNTA(B95)=1,1,0)</f>
        <v>1</v>
      </c>
    </row>
    <row r="96" spans="1:14" ht="15" customHeight="1">
      <c r="A96" s="113"/>
      <c r="B96" s="107"/>
      <c r="C96" s="114" t="s">
        <v>278</v>
      </c>
      <c r="D96" s="111"/>
      <c r="E96" s="111"/>
      <c r="F96" s="115"/>
      <c r="G96" s="111"/>
      <c r="H96" s="111"/>
      <c r="I96" s="111"/>
      <c r="J96" s="111"/>
      <c r="K96" s="111"/>
      <c r="L96" s="111"/>
      <c r="M96" s="111"/>
      <c r="N96" s="111"/>
    </row>
    <row r="97" spans="1:14" ht="15" customHeight="1">
      <c r="A97" s="113"/>
      <c r="B97" s="107"/>
      <c r="C97" s="114"/>
      <c r="D97" s="111"/>
      <c r="E97" s="111"/>
      <c r="F97" s="115"/>
      <c r="G97" s="111"/>
      <c r="H97" s="111"/>
      <c r="I97" s="111"/>
      <c r="J97" s="111"/>
      <c r="K97" s="111"/>
      <c r="L97" s="111"/>
      <c r="M97" s="111"/>
      <c r="N97" s="111"/>
    </row>
    <row r="98" spans="1:17" ht="15" customHeight="1">
      <c r="A98" s="113"/>
      <c r="B98" s="291" t="s">
        <v>415</v>
      </c>
      <c r="C98" s="114" t="s">
        <v>279</v>
      </c>
      <c r="D98" s="111"/>
      <c r="E98" s="111"/>
      <c r="F98" s="115"/>
      <c r="G98" s="111"/>
      <c r="H98" s="111"/>
      <c r="I98" s="111"/>
      <c r="J98" s="111"/>
      <c r="K98" s="111"/>
      <c r="L98" s="111"/>
      <c r="M98" s="111"/>
      <c r="N98" s="111"/>
      <c r="Q98" s="112">
        <f>IF(COUNTA(B98)=1,1,0)</f>
        <v>1</v>
      </c>
    </row>
    <row r="99" spans="1:17" ht="15" customHeight="1">
      <c r="A99" s="113"/>
      <c r="B99" s="107"/>
      <c r="C99" s="114" t="s">
        <v>280</v>
      </c>
      <c r="D99" s="111"/>
      <c r="E99" s="111"/>
      <c r="F99" s="115"/>
      <c r="G99" s="111"/>
      <c r="H99" s="111"/>
      <c r="I99" s="111"/>
      <c r="J99" s="111"/>
      <c r="K99" s="111"/>
      <c r="L99" s="111"/>
      <c r="M99" s="111"/>
      <c r="N99" s="111"/>
      <c r="Q99" s="112">
        <f>SUM(Q92:Q98)</f>
        <v>3</v>
      </c>
    </row>
    <row r="100" spans="1:14" ht="15" customHeight="1">
      <c r="A100" s="113"/>
      <c r="B100" s="107"/>
      <c r="C100" s="114"/>
      <c r="D100" s="111"/>
      <c r="E100" s="111"/>
      <c r="F100" s="115"/>
      <c r="G100" s="111"/>
      <c r="H100" s="111"/>
      <c r="I100" s="111"/>
      <c r="J100" s="111"/>
      <c r="K100" s="111"/>
      <c r="L100" s="111"/>
      <c r="M100" s="111"/>
      <c r="N100" s="111"/>
    </row>
    <row r="101" spans="1:14" ht="15" customHeight="1">
      <c r="A101" s="113" t="s">
        <v>281</v>
      </c>
      <c r="B101" s="107"/>
      <c r="C101" s="114"/>
      <c r="D101" s="111"/>
      <c r="E101" s="111"/>
      <c r="F101" s="115"/>
      <c r="G101" s="111"/>
      <c r="H101" s="111"/>
      <c r="I101" s="111"/>
      <c r="J101" s="111"/>
      <c r="K101" s="111"/>
      <c r="L101" s="111"/>
      <c r="M101" s="111"/>
      <c r="N101" s="111"/>
    </row>
    <row r="102" spans="1:17" ht="15" customHeight="1">
      <c r="A102" s="113" t="s">
        <v>282</v>
      </c>
      <c r="B102" s="107"/>
      <c r="C102" s="114"/>
      <c r="D102" s="111"/>
      <c r="E102" s="111"/>
      <c r="F102" s="115"/>
      <c r="G102" s="111"/>
      <c r="H102" s="111"/>
      <c r="I102" s="111"/>
      <c r="J102" s="111"/>
      <c r="K102" s="111"/>
      <c r="L102" s="111"/>
      <c r="M102" s="111"/>
      <c r="N102" s="111"/>
      <c r="Q102" s="120" t="str">
        <f>IF(Q111=3,criteria!I61,IF(Q111=2,criteria!G61,IF(Q111=1,criteria!E61,criteria!C61)))</f>
        <v>Fully Compliant </v>
      </c>
    </row>
    <row r="103" spans="1:14" ht="15" customHeight="1">
      <c r="A103" s="113"/>
      <c r="B103" s="107"/>
      <c r="C103" s="114"/>
      <c r="D103" s="111"/>
      <c r="E103" s="111"/>
      <c r="F103" s="115"/>
      <c r="G103" s="111"/>
      <c r="H103" s="111"/>
      <c r="I103" s="111"/>
      <c r="J103" s="111"/>
      <c r="K103" s="111"/>
      <c r="L103" s="111"/>
      <c r="M103" s="111"/>
      <c r="N103" s="111"/>
    </row>
    <row r="104" spans="1:17" ht="15" customHeight="1">
      <c r="A104" s="113"/>
      <c r="B104" s="291" t="s">
        <v>415</v>
      </c>
      <c r="C104" s="114" t="s">
        <v>275</v>
      </c>
      <c r="D104" s="111"/>
      <c r="E104" s="111"/>
      <c r="F104" s="115"/>
      <c r="G104" s="111"/>
      <c r="H104" s="111"/>
      <c r="I104" s="111"/>
      <c r="J104" s="111"/>
      <c r="K104" s="111"/>
      <c r="L104" s="111"/>
      <c r="M104" s="111"/>
      <c r="N104" s="111"/>
      <c r="Q104" s="112">
        <f>IF(COUNTA(B104)=1,1,0)</f>
        <v>1</v>
      </c>
    </row>
    <row r="105" spans="1:14" ht="15" customHeight="1">
      <c r="A105" s="113"/>
      <c r="B105" s="107"/>
      <c r="C105" s="114" t="s">
        <v>276</v>
      </c>
      <c r="D105" s="111"/>
      <c r="E105" s="111"/>
      <c r="F105" s="115"/>
      <c r="G105" s="111"/>
      <c r="H105" s="111"/>
      <c r="I105" s="111"/>
      <c r="J105" s="111"/>
      <c r="K105" s="111"/>
      <c r="L105" s="111"/>
      <c r="M105" s="111"/>
      <c r="N105" s="111"/>
    </row>
    <row r="106" spans="1:14" ht="15" customHeight="1">
      <c r="A106" s="113"/>
      <c r="B106" s="107"/>
      <c r="C106" s="114"/>
      <c r="D106" s="111"/>
      <c r="E106" s="111"/>
      <c r="F106" s="115"/>
      <c r="G106" s="111"/>
      <c r="H106" s="111"/>
      <c r="I106" s="111"/>
      <c r="J106" s="111"/>
      <c r="K106" s="111"/>
      <c r="L106" s="111"/>
      <c r="M106" s="111"/>
      <c r="N106" s="111"/>
    </row>
    <row r="107" spans="1:17" ht="15" customHeight="1">
      <c r="A107" s="113"/>
      <c r="B107" s="291" t="s">
        <v>415</v>
      </c>
      <c r="C107" s="114" t="s">
        <v>277</v>
      </c>
      <c r="D107" s="111"/>
      <c r="E107" s="111"/>
      <c r="F107" s="115"/>
      <c r="G107" s="111"/>
      <c r="H107" s="111"/>
      <c r="I107" s="111"/>
      <c r="J107" s="111"/>
      <c r="K107" s="111"/>
      <c r="L107" s="111"/>
      <c r="M107" s="111"/>
      <c r="N107" s="111"/>
      <c r="Q107" s="112">
        <f>IF(COUNTA(B107)=1,1,0)</f>
        <v>1</v>
      </c>
    </row>
    <row r="108" spans="1:14" ht="15" customHeight="1">
      <c r="A108" s="113"/>
      <c r="B108" s="107"/>
      <c r="C108" s="114" t="s">
        <v>278</v>
      </c>
      <c r="D108" s="111"/>
      <c r="E108" s="111"/>
      <c r="F108" s="115"/>
      <c r="G108" s="111"/>
      <c r="H108" s="111"/>
      <c r="I108" s="111"/>
      <c r="J108" s="111"/>
      <c r="K108" s="111"/>
      <c r="L108" s="111"/>
      <c r="M108" s="111"/>
      <c r="N108" s="111"/>
    </row>
    <row r="109" spans="1:14" ht="15" customHeight="1">
      <c r="A109" s="113"/>
      <c r="B109" s="107"/>
      <c r="C109" s="114"/>
      <c r="D109" s="111"/>
      <c r="E109" s="111"/>
      <c r="F109" s="115"/>
      <c r="G109" s="111"/>
      <c r="H109" s="111"/>
      <c r="I109" s="111"/>
      <c r="J109" s="111"/>
      <c r="K109" s="111"/>
      <c r="L109" s="111"/>
      <c r="M109" s="111"/>
      <c r="N109" s="111"/>
    </row>
    <row r="110" spans="1:17" ht="15" customHeight="1">
      <c r="A110" s="113"/>
      <c r="B110" s="291" t="s">
        <v>415</v>
      </c>
      <c r="C110" s="114" t="s">
        <v>279</v>
      </c>
      <c r="D110" s="111"/>
      <c r="E110" s="111"/>
      <c r="F110" s="115"/>
      <c r="G110" s="111"/>
      <c r="H110" s="111"/>
      <c r="I110" s="111"/>
      <c r="J110" s="111"/>
      <c r="K110" s="111"/>
      <c r="L110" s="111"/>
      <c r="M110" s="111"/>
      <c r="N110" s="111"/>
      <c r="Q110" s="112">
        <f>IF(COUNTA(B110)=1,1,0)</f>
        <v>1</v>
      </c>
    </row>
    <row r="111" spans="1:17" ht="15" customHeight="1">
      <c r="A111" s="113"/>
      <c r="B111" s="107"/>
      <c r="C111" s="114" t="s">
        <v>280</v>
      </c>
      <c r="D111" s="111"/>
      <c r="E111" s="111"/>
      <c r="F111" s="115"/>
      <c r="G111" s="111"/>
      <c r="H111" s="111"/>
      <c r="I111" s="111"/>
      <c r="J111" s="111"/>
      <c r="K111" s="111"/>
      <c r="L111" s="111"/>
      <c r="M111" s="111"/>
      <c r="N111" s="111"/>
      <c r="Q111" s="112">
        <f>SUM(Q104:Q110)</f>
        <v>3</v>
      </c>
    </row>
    <row r="112" spans="1:14" ht="15" customHeight="1">
      <c r="A112" s="113"/>
      <c r="B112" s="107"/>
      <c r="C112" s="114"/>
      <c r="D112" s="111"/>
      <c r="E112" s="111"/>
      <c r="F112" s="115"/>
      <c r="G112" s="111"/>
      <c r="H112" s="111"/>
      <c r="I112" s="111"/>
      <c r="J112" s="111"/>
      <c r="K112" s="111"/>
      <c r="L112" s="111"/>
      <c r="M112" s="111"/>
      <c r="N112" s="111"/>
    </row>
    <row r="113" spans="1:14" ht="15" customHeight="1">
      <c r="A113" s="113" t="s">
        <v>283</v>
      </c>
      <c r="B113" s="107"/>
      <c r="C113" s="114"/>
      <c r="D113" s="111"/>
      <c r="E113" s="111"/>
      <c r="F113" s="115"/>
      <c r="G113" s="111"/>
      <c r="H113" s="111"/>
      <c r="I113" s="111"/>
      <c r="J113" s="111"/>
      <c r="K113" s="111"/>
      <c r="L113" s="111"/>
      <c r="M113" s="111"/>
      <c r="N113" s="111"/>
    </row>
    <row r="114" spans="1:17" ht="14.25">
      <c r="A114" s="113" t="s">
        <v>284</v>
      </c>
      <c r="B114" s="107"/>
      <c r="C114" s="114"/>
      <c r="D114" s="111"/>
      <c r="E114" s="111"/>
      <c r="F114" s="115"/>
      <c r="G114" s="111"/>
      <c r="H114" s="111"/>
      <c r="I114" s="111"/>
      <c r="J114" s="111"/>
      <c r="K114" s="111"/>
      <c r="L114" s="111"/>
      <c r="M114" s="111"/>
      <c r="N114" s="111"/>
      <c r="Q114" s="120" t="str">
        <f>IF(Q123=3,criteria!I64,IF(Q123=2,criteria!G64,IF(Q123=1,criteria!E64,criteria!C64)))</f>
        <v>Fully Compliant </v>
      </c>
    </row>
    <row r="115" spans="1:14" ht="15" customHeight="1">
      <c r="A115" s="113"/>
      <c r="B115" s="107"/>
      <c r="C115" s="114"/>
      <c r="D115" s="111"/>
      <c r="E115" s="111"/>
      <c r="F115" s="115"/>
      <c r="G115" s="111"/>
      <c r="H115" s="111"/>
      <c r="I115" s="111"/>
      <c r="J115" s="111"/>
      <c r="K115" s="111"/>
      <c r="L115" s="111"/>
      <c r="M115" s="111"/>
      <c r="N115" s="111"/>
    </row>
    <row r="116" spans="1:17" ht="15" customHeight="1">
      <c r="A116" s="113"/>
      <c r="B116" s="291" t="s">
        <v>415</v>
      </c>
      <c r="C116" s="114" t="s">
        <v>285</v>
      </c>
      <c r="D116" s="111"/>
      <c r="E116" s="111"/>
      <c r="F116" s="115"/>
      <c r="G116" s="111"/>
      <c r="H116" s="111"/>
      <c r="I116" s="111"/>
      <c r="J116" s="111"/>
      <c r="K116" s="111"/>
      <c r="L116" s="111"/>
      <c r="M116" s="111"/>
      <c r="N116" s="111"/>
      <c r="Q116" s="112">
        <f>IF(COUNTA(B116)=1,1,0)</f>
        <v>1</v>
      </c>
    </row>
    <row r="117" spans="1:14" ht="15" customHeight="1">
      <c r="A117" s="113"/>
      <c r="B117" s="107"/>
      <c r="C117" s="114" t="s">
        <v>286</v>
      </c>
      <c r="D117" s="111"/>
      <c r="E117" s="111"/>
      <c r="F117" s="115"/>
      <c r="G117" s="111"/>
      <c r="H117" s="111"/>
      <c r="I117" s="111"/>
      <c r="J117" s="111"/>
      <c r="K117" s="111"/>
      <c r="L117" s="111"/>
      <c r="M117" s="111"/>
      <c r="N117" s="111"/>
    </row>
    <row r="118" spans="1:14" ht="15" customHeight="1">
      <c r="A118" s="113"/>
      <c r="B118" s="107"/>
      <c r="C118" s="114"/>
      <c r="D118" s="111"/>
      <c r="E118" s="111"/>
      <c r="F118" s="115"/>
      <c r="G118" s="111"/>
      <c r="H118" s="111"/>
      <c r="I118" s="111"/>
      <c r="J118" s="111"/>
      <c r="K118" s="111"/>
      <c r="L118" s="111"/>
      <c r="M118" s="111"/>
      <c r="N118" s="111"/>
    </row>
    <row r="119" spans="1:17" ht="15" customHeight="1">
      <c r="A119" s="113"/>
      <c r="B119" s="291" t="s">
        <v>415</v>
      </c>
      <c r="C119" s="114" t="s">
        <v>287</v>
      </c>
      <c r="D119" s="111"/>
      <c r="E119" s="111"/>
      <c r="F119" s="115"/>
      <c r="G119" s="111"/>
      <c r="H119" s="111"/>
      <c r="I119" s="111"/>
      <c r="J119" s="111"/>
      <c r="K119" s="111"/>
      <c r="L119" s="111"/>
      <c r="M119" s="111"/>
      <c r="N119" s="111"/>
      <c r="Q119" s="112">
        <f>IF(COUNTA(B119)=1,1,0)</f>
        <v>1</v>
      </c>
    </row>
    <row r="120" spans="1:14" ht="15" customHeight="1">
      <c r="A120" s="113"/>
      <c r="B120" s="123"/>
      <c r="C120" s="114"/>
      <c r="D120" s="111"/>
      <c r="E120" s="111"/>
      <c r="F120" s="115"/>
      <c r="G120" s="111"/>
      <c r="H120" s="111"/>
      <c r="I120" s="111"/>
      <c r="J120" s="111"/>
      <c r="K120" s="111"/>
      <c r="L120" s="111"/>
      <c r="M120" s="111"/>
      <c r="N120" s="111"/>
    </row>
    <row r="121" spans="1:14" ht="15" customHeight="1">
      <c r="A121" s="113"/>
      <c r="B121" s="107"/>
      <c r="C121" s="114"/>
      <c r="D121" s="111"/>
      <c r="E121" s="111"/>
      <c r="F121" s="115"/>
      <c r="G121" s="111"/>
      <c r="H121" s="111"/>
      <c r="I121" s="111"/>
      <c r="J121" s="111"/>
      <c r="K121" s="111"/>
      <c r="L121" s="111"/>
      <c r="M121" s="111"/>
      <c r="N121" s="111"/>
    </row>
    <row r="122" spans="1:17" ht="15" customHeight="1">
      <c r="A122" s="113"/>
      <c r="B122" s="291" t="s">
        <v>415</v>
      </c>
      <c r="C122" s="114" t="s">
        <v>288</v>
      </c>
      <c r="D122" s="111"/>
      <c r="E122" s="111"/>
      <c r="F122" s="115"/>
      <c r="G122" s="111"/>
      <c r="H122" s="111"/>
      <c r="I122" s="111"/>
      <c r="J122" s="111"/>
      <c r="K122" s="111"/>
      <c r="L122" s="111"/>
      <c r="M122" s="111"/>
      <c r="N122" s="111"/>
      <c r="Q122" s="112">
        <f>IF(COUNTA(B122)=1,1,0)</f>
        <v>1</v>
      </c>
    </row>
    <row r="123" spans="1:17" ht="15" customHeight="1">
      <c r="A123" s="113"/>
      <c r="B123" s="107"/>
      <c r="C123" s="114" t="s">
        <v>289</v>
      </c>
      <c r="D123" s="111"/>
      <c r="E123" s="111"/>
      <c r="F123" s="115"/>
      <c r="G123" s="111"/>
      <c r="H123" s="111"/>
      <c r="I123" s="111"/>
      <c r="J123" s="111"/>
      <c r="K123" s="111"/>
      <c r="L123" s="111"/>
      <c r="M123" s="111"/>
      <c r="N123" s="111"/>
      <c r="Q123" s="112">
        <f>SUM(Q116:Q122)</f>
        <v>3</v>
      </c>
    </row>
    <row r="124" spans="1:14" ht="15" customHeight="1">
      <c r="A124" s="113"/>
      <c r="B124" s="107"/>
      <c r="C124" s="114"/>
      <c r="D124" s="111"/>
      <c r="E124" s="111"/>
      <c r="F124" s="115"/>
      <c r="G124" s="111"/>
      <c r="H124" s="111"/>
      <c r="I124" s="111"/>
      <c r="J124" s="111"/>
      <c r="K124" s="111"/>
      <c r="L124" s="111"/>
      <c r="M124" s="111"/>
      <c r="N124" s="111"/>
    </row>
    <row r="125" spans="1:14" ht="14.25">
      <c r="A125" s="113" t="s">
        <v>290</v>
      </c>
      <c r="B125" s="107"/>
      <c r="C125" s="114"/>
      <c r="D125" s="111"/>
      <c r="E125" s="111"/>
      <c r="F125" s="115"/>
      <c r="G125" s="111"/>
      <c r="H125" s="111"/>
      <c r="I125" s="111"/>
      <c r="J125" s="111"/>
      <c r="K125" s="111"/>
      <c r="L125" s="111"/>
      <c r="M125" s="111"/>
      <c r="N125" s="111"/>
    </row>
    <row r="126" spans="1:17" ht="14.25">
      <c r="A126" s="113" t="s">
        <v>291</v>
      </c>
      <c r="B126" s="107"/>
      <c r="C126" s="114"/>
      <c r="D126" s="111"/>
      <c r="E126" s="111"/>
      <c r="F126" s="115"/>
      <c r="G126" s="111"/>
      <c r="H126" s="111"/>
      <c r="I126" s="111"/>
      <c r="J126" s="111"/>
      <c r="K126" s="111"/>
      <c r="L126" s="111"/>
      <c r="M126" s="111"/>
      <c r="N126" s="111"/>
      <c r="Q126" s="120" t="str">
        <f>IF(Q127=3,criteria!I65,IF(Q127=2,criteria!G65,IF(Q127=1,criteria!E65,criteria!C65)))</f>
        <v>Fully Compliant </v>
      </c>
    </row>
    <row r="127" spans="1:17" ht="14.25">
      <c r="A127" s="113"/>
      <c r="B127" s="107"/>
      <c r="C127" s="114"/>
      <c r="D127" s="111"/>
      <c r="E127" s="111"/>
      <c r="F127" s="115"/>
      <c r="G127" s="111"/>
      <c r="H127" s="111"/>
      <c r="I127" s="111"/>
      <c r="J127" s="111"/>
      <c r="K127" s="111"/>
      <c r="L127" s="111"/>
      <c r="M127" s="111"/>
      <c r="N127" s="111"/>
      <c r="Q127" s="112">
        <f>SUM(Q128:Q133)</f>
        <v>3</v>
      </c>
    </row>
    <row r="128" spans="1:17" ht="15" customHeight="1">
      <c r="A128" s="113"/>
      <c r="B128" s="291" t="s">
        <v>415</v>
      </c>
      <c r="C128" s="114" t="s">
        <v>292</v>
      </c>
      <c r="D128" s="111"/>
      <c r="E128" s="111"/>
      <c r="F128" s="115"/>
      <c r="G128" s="111"/>
      <c r="H128" s="111"/>
      <c r="I128" s="111"/>
      <c r="J128" s="111"/>
      <c r="K128" s="111"/>
      <c r="L128" s="111"/>
      <c r="M128" s="111"/>
      <c r="N128" s="111"/>
      <c r="Q128" s="112">
        <f>IF(COUNTA(B128)=1,1,0)</f>
        <v>1</v>
      </c>
    </row>
    <row r="129" spans="1:14" ht="14.25">
      <c r="A129" s="113"/>
      <c r="B129" s="107"/>
      <c r="C129" s="114" t="s">
        <v>293</v>
      </c>
      <c r="D129" s="111"/>
      <c r="E129" s="111"/>
      <c r="F129" s="115"/>
      <c r="G129" s="111"/>
      <c r="H129" s="111"/>
      <c r="I129" s="111"/>
      <c r="J129" s="111"/>
      <c r="K129" s="111"/>
      <c r="L129" s="111"/>
      <c r="M129" s="111"/>
      <c r="N129" s="111"/>
    </row>
    <row r="130" spans="1:14" ht="14.25">
      <c r="A130" s="113"/>
      <c r="B130" s="107"/>
      <c r="C130" s="114"/>
      <c r="D130" s="111"/>
      <c r="E130" s="111"/>
      <c r="F130" s="115"/>
      <c r="G130" s="111"/>
      <c r="H130" s="111"/>
      <c r="I130" s="111"/>
      <c r="J130" s="111"/>
      <c r="K130" s="111"/>
      <c r="L130" s="111"/>
      <c r="M130" s="111"/>
      <c r="N130" s="111"/>
    </row>
    <row r="131" spans="1:17" ht="15" customHeight="1">
      <c r="A131" s="113"/>
      <c r="B131" s="291" t="s">
        <v>415</v>
      </c>
      <c r="C131" s="114" t="s">
        <v>294</v>
      </c>
      <c r="D131" s="111"/>
      <c r="E131" s="111"/>
      <c r="F131" s="115"/>
      <c r="G131" s="111"/>
      <c r="H131" s="111"/>
      <c r="I131" s="111"/>
      <c r="J131" s="111"/>
      <c r="K131" s="111"/>
      <c r="L131" s="111"/>
      <c r="M131" s="111"/>
      <c r="N131" s="111"/>
      <c r="Q131" s="112">
        <f>IF(COUNTA(B131)=1,1,0)</f>
        <v>1</v>
      </c>
    </row>
    <row r="132" spans="1:14" ht="14.25">
      <c r="A132" s="113"/>
      <c r="B132" s="107"/>
      <c r="C132" s="114"/>
      <c r="D132" s="111"/>
      <c r="E132" s="111"/>
      <c r="F132" s="115"/>
      <c r="G132" s="111"/>
      <c r="H132" s="111"/>
      <c r="I132" s="111"/>
      <c r="J132" s="111"/>
      <c r="K132" s="111"/>
      <c r="L132" s="111"/>
      <c r="M132" s="111"/>
      <c r="N132" s="111"/>
    </row>
    <row r="133" spans="1:17" ht="15" customHeight="1">
      <c r="A133" s="113"/>
      <c r="B133" s="291" t="s">
        <v>415</v>
      </c>
      <c r="C133" s="114" t="s">
        <v>295</v>
      </c>
      <c r="D133" s="111"/>
      <c r="E133" s="111"/>
      <c r="F133" s="115"/>
      <c r="G133" s="111"/>
      <c r="H133" s="111"/>
      <c r="I133" s="111"/>
      <c r="J133" s="111"/>
      <c r="K133" s="111"/>
      <c r="L133" s="111"/>
      <c r="M133" s="111"/>
      <c r="N133" s="111"/>
      <c r="Q133" s="112">
        <f>IF(COUNTA(B133)=1,1,0)</f>
        <v>1</v>
      </c>
    </row>
    <row r="134" spans="1:14" ht="14.25">
      <c r="A134" s="113"/>
      <c r="B134" s="107"/>
      <c r="C134" s="114"/>
      <c r="D134" s="111"/>
      <c r="E134" s="111"/>
      <c r="F134" s="115"/>
      <c r="G134" s="111"/>
      <c r="H134" s="111"/>
      <c r="I134" s="111"/>
      <c r="J134" s="111"/>
      <c r="K134" s="111"/>
      <c r="L134" s="111"/>
      <c r="M134" s="111"/>
      <c r="N134" s="111"/>
    </row>
    <row r="135" spans="1:17" ht="14.25">
      <c r="A135" s="113" t="s">
        <v>296</v>
      </c>
      <c r="B135" s="107"/>
      <c r="C135" s="114"/>
      <c r="D135" s="111"/>
      <c r="E135" s="111"/>
      <c r="F135" s="115"/>
      <c r="G135" s="111"/>
      <c r="H135" s="111"/>
      <c r="I135" s="111"/>
      <c r="J135" s="111"/>
      <c r="K135" s="111"/>
      <c r="L135" s="111"/>
      <c r="M135" s="111"/>
      <c r="N135" s="111"/>
      <c r="Q135" s="120" t="str">
        <f>IF(OR(Q136=0,Q136&gt;45),criteria!C66,IF(AND(Q136&gt;=38,Q136&lt;=45),criteria!E66,IF(AND(Q136&gt;=31,Q136&lt;=37),criteria!G66,IF(Q136&lt;=30,criteria!I66,criteria!C66))))</f>
        <v>On or before 30 days</v>
      </c>
    </row>
    <row r="136" spans="1:17" ht="14.25">
      <c r="A136" s="113" t="s">
        <v>297</v>
      </c>
      <c r="B136" s="107"/>
      <c r="C136" s="114"/>
      <c r="D136" s="111"/>
      <c r="E136" s="310">
        <v>30</v>
      </c>
      <c r="F136" s="310"/>
      <c r="G136" s="310"/>
      <c r="H136" s="113" t="s">
        <v>298</v>
      </c>
      <c r="I136" s="111"/>
      <c r="J136" s="111"/>
      <c r="K136" s="111"/>
      <c r="L136" s="111"/>
      <c r="M136" s="111"/>
      <c r="N136" s="111"/>
      <c r="Q136" s="112">
        <f>E136</f>
        <v>30</v>
      </c>
    </row>
    <row r="137" spans="1:14" ht="14.25">
      <c r="A137" s="113"/>
      <c r="B137" s="107"/>
      <c r="C137" s="114"/>
      <c r="D137" s="111"/>
      <c r="E137" s="111"/>
      <c r="F137" s="115"/>
      <c r="G137" s="111"/>
      <c r="H137" s="111"/>
      <c r="I137" s="111"/>
      <c r="J137" s="111"/>
      <c r="K137" s="111"/>
      <c r="L137" s="111"/>
      <c r="M137" s="111"/>
      <c r="N137" s="111"/>
    </row>
    <row r="138" spans="1:14" ht="14.25">
      <c r="A138" s="113" t="s">
        <v>299</v>
      </c>
      <c r="B138" s="107"/>
      <c r="C138" s="114"/>
      <c r="D138" s="111"/>
      <c r="E138" s="111"/>
      <c r="F138" s="115"/>
      <c r="G138" s="111"/>
      <c r="H138" s="111"/>
      <c r="I138" s="111"/>
      <c r="J138" s="111"/>
      <c r="K138" s="111"/>
      <c r="L138" s="111"/>
      <c r="M138" s="111"/>
      <c r="N138" s="111"/>
    </row>
    <row r="139" spans="1:14" ht="14.25">
      <c r="A139" s="113"/>
      <c r="B139" s="107"/>
      <c r="C139" s="114"/>
      <c r="D139" s="111"/>
      <c r="E139" s="111"/>
      <c r="F139" s="115"/>
      <c r="G139" s="111"/>
      <c r="H139" s="111"/>
      <c r="I139" s="111"/>
      <c r="J139" s="111"/>
      <c r="K139" s="111"/>
      <c r="L139" s="111"/>
      <c r="M139" s="111"/>
      <c r="N139" s="111"/>
    </row>
    <row r="140" spans="1:17" ht="15" customHeight="1">
      <c r="A140" s="113"/>
      <c r="B140" s="291" t="s">
        <v>415</v>
      </c>
      <c r="C140" s="114" t="s">
        <v>230</v>
      </c>
      <c r="D140" s="111"/>
      <c r="E140" s="116"/>
      <c r="F140" s="117" t="s">
        <v>231</v>
      </c>
      <c r="G140" s="111"/>
      <c r="H140" s="111"/>
      <c r="I140" s="111"/>
      <c r="J140" s="111"/>
      <c r="K140" s="111"/>
      <c r="L140" s="111"/>
      <c r="M140" s="111"/>
      <c r="N140" s="111"/>
      <c r="Q140" s="118" t="str">
        <f>IF(AND(COUNTA(B146)=1,COUNTA(B148)=1,COUNTA(B150)=1,COUNTA(B152)=1,COUNTA(B154)=1,COUNTA(B156)=1),criteria!I71,criteria!C71)</f>
        <v>Compliant </v>
      </c>
    </row>
    <row r="141" spans="1:14" ht="14.25">
      <c r="A141" s="113"/>
      <c r="B141" s="107"/>
      <c r="C141" s="114"/>
      <c r="D141" s="111"/>
      <c r="E141" s="111"/>
      <c r="F141" s="115"/>
      <c r="G141" s="111"/>
      <c r="H141" s="111"/>
      <c r="I141" s="111"/>
      <c r="J141" s="111"/>
      <c r="K141" s="111"/>
      <c r="L141" s="111"/>
      <c r="M141" s="111"/>
      <c r="N141" s="111"/>
    </row>
    <row r="142" spans="1:14" ht="14.25">
      <c r="A142" s="113"/>
      <c r="B142" s="107"/>
      <c r="C142" s="114" t="s">
        <v>300</v>
      </c>
      <c r="D142" s="111"/>
      <c r="E142" s="111"/>
      <c r="F142" s="115"/>
      <c r="G142" s="111"/>
      <c r="H142" s="111"/>
      <c r="I142" s="111"/>
      <c r="J142" s="111"/>
      <c r="K142" s="111"/>
      <c r="L142" s="111"/>
      <c r="M142" s="111"/>
      <c r="N142" s="111"/>
    </row>
    <row r="143" spans="1:14" ht="14.25">
      <c r="A143" s="113"/>
      <c r="B143" s="107"/>
      <c r="C143" s="114"/>
      <c r="D143" s="111"/>
      <c r="E143" s="111"/>
      <c r="F143" s="115"/>
      <c r="G143" s="111"/>
      <c r="H143" s="111"/>
      <c r="I143" s="111"/>
      <c r="J143" s="111"/>
      <c r="K143" s="111"/>
      <c r="L143" s="111"/>
      <c r="M143" s="111"/>
      <c r="N143" s="111"/>
    </row>
    <row r="144" spans="1:14" ht="14.25">
      <c r="A144" s="113"/>
      <c r="B144" s="291" t="s">
        <v>415</v>
      </c>
      <c r="C144" s="114" t="s">
        <v>301</v>
      </c>
      <c r="D144" s="111"/>
      <c r="E144" s="111"/>
      <c r="F144" s="115"/>
      <c r="G144" s="111"/>
      <c r="H144" s="111"/>
      <c r="I144" s="111"/>
      <c r="J144" s="111"/>
      <c r="K144" s="111"/>
      <c r="L144" s="111"/>
      <c r="M144" s="111"/>
      <c r="N144" s="111"/>
    </row>
    <row r="145" spans="1:14" ht="14.25">
      <c r="A145" s="113"/>
      <c r="B145" s="106"/>
      <c r="C145" s="113"/>
      <c r="D145" s="111"/>
      <c r="E145" s="111"/>
      <c r="F145" s="115"/>
      <c r="G145" s="111"/>
      <c r="H145" s="111"/>
      <c r="I145" s="111"/>
      <c r="J145" s="111"/>
      <c r="K145" s="111"/>
      <c r="L145" s="111"/>
      <c r="M145" s="111"/>
      <c r="N145" s="111"/>
    </row>
    <row r="146" spans="1:14" ht="14.25">
      <c r="A146" s="113"/>
      <c r="B146" s="291" t="s">
        <v>415</v>
      </c>
      <c r="C146" s="114" t="s">
        <v>302</v>
      </c>
      <c r="D146" s="111"/>
      <c r="E146" s="111"/>
      <c r="F146" s="115"/>
      <c r="G146" s="111"/>
      <c r="H146" s="111"/>
      <c r="I146" s="111"/>
      <c r="J146" s="111"/>
      <c r="K146" s="111"/>
      <c r="L146" s="111"/>
      <c r="M146" s="111"/>
      <c r="N146" s="111"/>
    </row>
    <row r="147" spans="1:14" ht="14.25">
      <c r="A147" s="113"/>
      <c r="B147" s="106"/>
      <c r="C147" s="113"/>
      <c r="D147" s="111"/>
      <c r="E147" s="111"/>
      <c r="F147" s="115"/>
      <c r="G147" s="111"/>
      <c r="H147" s="111"/>
      <c r="I147" s="111"/>
      <c r="J147" s="111"/>
      <c r="K147" s="111"/>
      <c r="L147" s="111"/>
      <c r="M147" s="111"/>
      <c r="N147" s="111"/>
    </row>
    <row r="148" spans="1:14" ht="14.25">
      <c r="A148" s="113"/>
      <c r="B148" s="291" t="s">
        <v>415</v>
      </c>
      <c r="C148" s="114" t="s">
        <v>303</v>
      </c>
      <c r="D148" s="111"/>
      <c r="E148" s="111"/>
      <c r="F148" s="115"/>
      <c r="G148" s="111"/>
      <c r="H148" s="111"/>
      <c r="I148" s="111"/>
      <c r="J148" s="111"/>
      <c r="K148" s="111"/>
      <c r="L148" s="111"/>
      <c r="M148" s="111"/>
      <c r="N148" s="111"/>
    </row>
    <row r="149" spans="1:14" ht="14.25">
      <c r="A149" s="113"/>
      <c r="B149" s="106"/>
      <c r="C149" s="113"/>
      <c r="D149" s="111"/>
      <c r="E149" s="111"/>
      <c r="F149" s="115"/>
      <c r="G149" s="111"/>
      <c r="H149" s="111"/>
      <c r="I149" s="111"/>
      <c r="J149" s="111"/>
      <c r="K149" s="111"/>
      <c r="L149" s="111"/>
      <c r="M149" s="111"/>
      <c r="N149" s="111"/>
    </row>
    <row r="150" spans="1:14" ht="14.25">
      <c r="A150" s="113"/>
      <c r="B150" s="291" t="s">
        <v>415</v>
      </c>
      <c r="C150" s="114" t="s">
        <v>304</v>
      </c>
      <c r="D150" s="111"/>
      <c r="E150" s="111"/>
      <c r="F150" s="115"/>
      <c r="G150" s="111"/>
      <c r="H150" s="111"/>
      <c r="I150" s="111"/>
      <c r="J150" s="111"/>
      <c r="K150" s="111"/>
      <c r="L150" s="111"/>
      <c r="M150" s="111"/>
      <c r="N150" s="111"/>
    </row>
    <row r="151" spans="1:14" ht="14.25">
      <c r="A151" s="113"/>
      <c r="B151" s="106"/>
      <c r="C151" s="113"/>
      <c r="D151" s="111"/>
      <c r="E151" s="111"/>
      <c r="F151" s="115"/>
      <c r="G151" s="111"/>
      <c r="H151" s="111"/>
      <c r="I151" s="111"/>
      <c r="J151" s="111"/>
      <c r="K151" s="111"/>
      <c r="L151" s="111"/>
      <c r="M151" s="111"/>
      <c r="N151" s="111"/>
    </row>
    <row r="152" spans="1:14" ht="14.25">
      <c r="A152" s="113"/>
      <c r="B152" s="291" t="s">
        <v>415</v>
      </c>
      <c r="C152" s="114" t="s">
        <v>305</v>
      </c>
      <c r="D152" s="111"/>
      <c r="E152" s="111"/>
      <c r="F152" s="115"/>
      <c r="G152" s="111"/>
      <c r="H152" s="111"/>
      <c r="I152" s="111"/>
      <c r="J152" s="111"/>
      <c r="K152" s="111"/>
      <c r="L152" s="111"/>
      <c r="M152" s="111"/>
      <c r="N152" s="111"/>
    </row>
    <row r="153" spans="1:14" ht="14.25">
      <c r="A153" s="113"/>
      <c r="B153" s="106"/>
      <c r="C153" s="113"/>
      <c r="D153" s="111"/>
      <c r="E153" s="111"/>
      <c r="F153" s="115"/>
      <c r="G153" s="111"/>
      <c r="H153" s="111"/>
      <c r="I153" s="111"/>
      <c r="J153" s="111"/>
      <c r="K153" s="111"/>
      <c r="L153" s="111"/>
      <c r="M153" s="111"/>
      <c r="N153" s="111"/>
    </row>
    <row r="154" spans="1:14" ht="14.25">
      <c r="A154" s="113"/>
      <c r="B154" s="291" t="s">
        <v>415</v>
      </c>
      <c r="C154" s="114" t="s">
        <v>306</v>
      </c>
      <c r="D154" s="111"/>
      <c r="E154" s="111"/>
      <c r="F154" s="115"/>
      <c r="G154" s="111"/>
      <c r="H154" s="111"/>
      <c r="I154" s="111"/>
      <c r="J154" s="111"/>
      <c r="K154" s="111"/>
      <c r="L154" s="111"/>
      <c r="M154" s="111"/>
      <c r="N154" s="111"/>
    </row>
    <row r="155" spans="1:14" ht="14.25">
      <c r="A155" s="113"/>
      <c r="B155" s="106"/>
      <c r="C155" s="113"/>
      <c r="D155" s="111"/>
      <c r="E155" s="111"/>
      <c r="F155" s="115"/>
      <c r="G155" s="111"/>
      <c r="H155" s="111"/>
      <c r="I155" s="111"/>
      <c r="J155" s="111"/>
      <c r="K155" s="111"/>
      <c r="L155" s="111"/>
      <c r="M155" s="111"/>
      <c r="N155" s="111"/>
    </row>
    <row r="156" spans="1:14" ht="14.25">
      <c r="A156" s="113"/>
      <c r="B156" s="291" t="s">
        <v>415</v>
      </c>
      <c r="C156" s="114" t="s">
        <v>307</v>
      </c>
      <c r="D156" s="111"/>
      <c r="E156" s="111"/>
      <c r="F156" s="115"/>
      <c r="G156" s="111"/>
      <c r="H156" s="111"/>
      <c r="I156" s="111"/>
      <c r="J156" s="111"/>
      <c r="K156" s="111"/>
      <c r="L156" s="111"/>
      <c r="M156" s="111"/>
      <c r="N156" s="111"/>
    </row>
    <row r="157" spans="1:14" ht="14.25">
      <c r="A157" s="113"/>
      <c r="B157" s="106"/>
      <c r="C157" s="113"/>
      <c r="D157" s="111"/>
      <c r="E157" s="111"/>
      <c r="F157" s="115"/>
      <c r="G157" s="111"/>
      <c r="H157" s="111"/>
      <c r="I157" s="111"/>
      <c r="J157" s="111"/>
      <c r="K157" s="111"/>
      <c r="L157" s="111"/>
      <c r="M157" s="111"/>
      <c r="N157" s="111"/>
    </row>
    <row r="158" spans="1:14" ht="14.25">
      <c r="A158" s="113"/>
      <c r="B158" s="291" t="s">
        <v>415</v>
      </c>
      <c r="C158" s="114" t="s">
        <v>308</v>
      </c>
      <c r="D158" s="111"/>
      <c r="E158" s="111"/>
      <c r="F158" s="115"/>
      <c r="G158" s="111"/>
      <c r="H158" s="111"/>
      <c r="I158" s="111"/>
      <c r="J158" s="111"/>
      <c r="K158" s="111"/>
      <c r="L158" s="111"/>
      <c r="M158" s="111"/>
      <c r="N158" s="111"/>
    </row>
    <row r="159" spans="1:14" ht="14.25">
      <c r="A159" s="113"/>
      <c r="B159" s="106"/>
      <c r="C159" s="113"/>
      <c r="D159" s="111"/>
      <c r="E159" s="111"/>
      <c r="F159" s="115"/>
      <c r="G159" s="111"/>
      <c r="H159" s="111"/>
      <c r="I159" s="111"/>
      <c r="J159" s="111"/>
      <c r="K159" s="111"/>
      <c r="L159" s="111"/>
      <c r="M159" s="111"/>
      <c r="N159" s="111"/>
    </row>
    <row r="160" spans="1:14" ht="14.25">
      <c r="A160" s="113"/>
      <c r="B160" s="291" t="s">
        <v>415</v>
      </c>
      <c r="C160" s="114" t="s">
        <v>309</v>
      </c>
      <c r="D160" s="111"/>
      <c r="E160" s="111"/>
      <c r="F160" s="115"/>
      <c r="G160" s="111"/>
      <c r="H160" s="111"/>
      <c r="I160" s="111"/>
      <c r="J160" s="111"/>
      <c r="K160" s="111"/>
      <c r="L160" s="111"/>
      <c r="M160" s="111"/>
      <c r="N160" s="111"/>
    </row>
    <row r="161" spans="1:14" ht="14.25">
      <c r="A161" s="113"/>
      <c r="B161" s="107"/>
      <c r="C161" s="114"/>
      <c r="D161" s="111"/>
      <c r="E161" s="111"/>
      <c r="F161" s="115"/>
      <c r="G161" s="111"/>
      <c r="H161" s="111"/>
      <c r="I161" s="111"/>
      <c r="J161" s="111"/>
      <c r="K161" s="111"/>
      <c r="L161" s="111"/>
      <c r="M161" s="111"/>
      <c r="N161" s="111"/>
    </row>
    <row r="162" spans="1:14" ht="14.25">
      <c r="A162" s="113" t="s">
        <v>310</v>
      </c>
      <c r="B162" s="107"/>
      <c r="C162" s="114"/>
      <c r="D162" s="111"/>
      <c r="E162" s="111"/>
      <c r="F162" s="115"/>
      <c r="G162" s="111"/>
      <c r="H162" s="111"/>
      <c r="I162" s="111"/>
      <c r="J162" s="111"/>
      <c r="K162" s="111"/>
      <c r="L162" s="111"/>
      <c r="M162" s="111"/>
      <c r="N162" s="111"/>
    </row>
    <row r="163" spans="1:17" ht="14.25">
      <c r="A163" s="113" t="s">
        <v>311</v>
      </c>
      <c r="B163" s="107"/>
      <c r="C163" s="114"/>
      <c r="D163" s="111"/>
      <c r="E163" s="111"/>
      <c r="F163" s="115"/>
      <c r="G163" s="111"/>
      <c r="H163" s="111"/>
      <c r="I163" s="111"/>
      <c r="J163" s="111"/>
      <c r="K163" s="111"/>
      <c r="L163" s="111"/>
      <c r="M163" s="111"/>
      <c r="N163" s="111"/>
      <c r="Q163" s="120" t="str">
        <f>IF(B165="n/a","n/a",IF(Q171=3,'[1]criteria'!I75,IF(AND(Q171=2,Q165=1),'[1]criteria'!G75,IF(AND(Q171=1,Q165=1),'[1]criteria'!E75,'[1]criteria'!C75))))</f>
        <v>Fully Compliant </v>
      </c>
    </row>
    <row r="164" spans="1:14" ht="15" customHeight="1">
      <c r="A164" s="113"/>
      <c r="B164" s="107"/>
      <c r="C164" s="114"/>
      <c r="D164" s="111"/>
      <c r="E164" s="111"/>
      <c r="F164" s="115"/>
      <c r="G164" s="111"/>
      <c r="H164" s="111"/>
      <c r="I164" s="111"/>
      <c r="J164" s="111"/>
      <c r="K164" s="111"/>
      <c r="L164" s="111"/>
      <c r="M164" s="111"/>
      <c r="N164" s="111"/>
    </row>
    <row r="165" spans="1:17" ht="15" customHeight="1">
      <c r="A165" s="113"/>
      <c r="B165" s="291" t="s">
        <v>415</v>
      </c>
      <c r="C165" s="114" t="s">
        <v>312</v>
      </c>
      <c r="D165" s="111"/>
      <c r="E165" s="111"/>
      <c r="F165" s="115"/>
      <c r="G165" s="111"/>
      <c r="H165" s="111"/>
      <c r="I165" s="111"/>
      <c r="J165" s="111"/>
      <c r="K165" s="111"/>
      <c r="L165" s="111"/>
      <c r="M165" s="111"/>
      <c r="N165" s="111"/>
      <c r="Q165" s="112">
        <f>IF(COUNTA(B165)=1,1,0)</f>
        <v>1</v>
      </c>
    </row>
    <row r="166" spans="1:14" ht="15" customHeight="1">
      <c r="A166" s="113"/>
      <c r="B166" s="107"/>
      <c r="C166" s="114" t="s">
        <v>313</v>
      </c>
      <c r="D166" s="111"/>
      <c r="E166" s="111"/>
      <c r="F166" s="115"/>
      <c r="G166" s="111"/>
      <c r="H166" s="111"/>
      <c r="I166" s="111"/>
      <c r="J166" s="111"/>
      <c r="K166" s="111"/>
      <c r="L166" s="111"/>
      <c r="M166" s="111"/>
      <c r="N166" s="111"/>
    </row>
    <row r="167" spans="1:14" ht="15" customHeight="1">
      <c r="A167" s="113"/>
      <c r="B167" s="107"/>
      <c r="C167" s="114"/>
      <c r="D167" s="111"/>
      <c r="E167" s="111"/>
      <c r="F167" s="115"/>
      <c r="G167" s="111"/>
      <c r="H167" s="111"/>
      <c r="I167" s="111"/>
      <c r="J167" s="111"/>
      <c r="K167" s="111"/>
      <c r="L167" s="111"/>
      <c r="M167" s="111"/>
      <c r="N167" s="111"/>
    </row>
    <row r="168" spans="1:17" ht="15" customHeight="1">
      <c r="A168" s="113"/>
      <c r="B168" s="291" t="s">
        <v>415</v>
      </c>
      <c r="C168" s="114" t="s">
        <v>314</v>
      </c>
      <c r="D168" s="111"/>
      <c r="E168" s="111"/>
      <c r="F168" s="115"/>
      <c r="G168" s="111"/>
      <c r="H168" s="111"/>
      <c r="I168" s="111"/>
      <c r="J168" s="111"/>
      <c r="K168" s="111"/>
      <c r="L168" s="111"/>
      <c r="M168" s="111"/>
      <c r="N168" s="111"/>
      <c r="Q168" s="112">
        <f>IF(COUNTA(B168)=1,1,0)</f>
        <v>1</v>
      </c>
    </row>
    <row r="169" spans="1:14" ht="15" customHeight="1">
      <c r="A169" s="113"/>
      <c r="B169" s="107"/>
      <c r="C169" s="114"/>
      <c r="D169" s="111"/>
      <c r="E169" s="111"/>
      <c r="F169" s="115"/>
      <c r="G169" s="111"/>
      <c r="H169" s="111"/>
      <c r="I169" s="111"/>
      <c r="J169" s="111"/>
      <c r="K169" s="111"/>
      <c r="L169" s="111"/>
      <c r="M169" s="111"/>
      <c r="N169" s="111"/>
    </row>
    <row r="170" spans="1:17" ht="15" customHeight="1">
      <c r="A170" s="113"/>
      <c r="B170" s="291" t="s">
        <v>415</v>
      </c>
      <c r="C170" s="114" t="s">
        <v>315</v>
      </c>
      <c r="D170" s="111"/>
      <c r="E170" s="111"/>
      <c r="F170" s="115"/>
      <c r="G170" s="111"/>
      <c r="H170" s="111"/>
      <c r="I170" s="111"/>
      <c r="J170" s="111"/>
      <c r="K170" s="111"/>
      <c r="L170" s="111"/>
      <c r="M170" s="111"/>
      <c r="N170" s="111"/>
      <c r="Q170" s="112">
        <f>IF(COUNTA(B170)=1,1,0)</f>
        <v>1</v>
      </c>
    </row>
    <row r="171" spans="1:17" ht="15" customHeight="1">
      <c r="A171" s="113"/>
      <c r="B171" s="107"/>
      <c r="C171" s="114" t="s">
        <v>316</v>
      </c>
      <c r="D171" s="111"/>
      <c r="E171" s="111"/>
      <c r="F171" s="115"/>
      <c r="G171" s="111"/>
      <c r="H171" s="111"/>
      <c r="I171" s="111"/>
      <c r="J171" s="111"/>
      <c r="K171" s="111"/>
      <c r="L171" s="111"/>
      <c r="M171" s="111"/>
      <c r="N171" s="111"/>
      <c r="Q171" s="112">
        <f>SUM(Q165:Q170)</f>
        <v>3</v>
      </c>
    </row>
    <row r="172" spans="1:14" ht="14.25">
      <c r="A172" s="113"/>
      <c r="B172" s="107"/>
      <c r="C172" s="114"/>
      <c r="D172" s="111"/>
      <c r="E172" s="111"/>
      <c r="F172" s="115"/>
      <c r="G172" s="111"/>
      <c r="H172" s="111"/>
      <c r="I172" s="111"/>
      <c r="J172" s="111"/>
      <c r="K172" s="111"/>
      <c r="L172" s="111"/>
      <c r="M172" s="111"/>
      <c r="N172" s="111"/>
    </row>
    <row r="173" spans="1:14" ht="14.25">
      <c r="A173" s="113" t="s">
        <v>317</v>
      </c>
      <c r="B173" s="107"/>
      <c r="C173" s="114"/>
      <c r="D173" s="111"/>
      <c r="E173" s="111"/>
      <c r="F173" s="115"/>
      <c r="G173" s="111"/>
      <c r="H173" s="111"/>
      <c r="I173" s="111"/>
      <c r="J173" s="111"/>
      <c r="K173" s="111"/>
      <c r="L173" s="111"/>
      <c r="M173" s="111"/>
      <c r="N173" s="111"/>
    </row>
    <row r="174" spans="1:14" ht="14.25">
      <c r="A174" s="113" t="s">
        <v>318</v>
      </c>
      <c r="B174" s="107"/>
      <c r="C174" s="114"/>
      <c r="D174" s="111"/>
      <c r="E174" s="111"/>
      <c r="F174" s="115"/>
      <c r="G174" s="111"/>
      <c r="H174" s="111"/>
      <c r="I174" s="111"/>
      <c r="J174" s="111"/>
      <c r="K174" s="111"/>
      <c r="L174" s="111"/>
      <c r="M174" s="111"/>
      <c r="N174" s="111"/>
    </row>
    <row r="175" spans="1:14" ht="14.25">
      <c r="A175" s="113"/>
      <c r="B175" s="107"/>
      <c r="C175" s="114"/>
      <c r="D175" s="111"/>
      <c r="E175" s="111"/>
      <c r="F175" s="115"/>
      <c r="G175" s="111"/>
      <c r="H175" s="111"/>
      <c r="I175" s="111"/>
      <c r="J175" s="111"/>
      <c r="K175" s="111"/>
      <c r="L175" s="111"/>
      <c r="M175" s="111"/>
      <c r="N175" s="111"/>
    </row>
    <row r="176" spans="1:17" ht="15" customHeight="1">
      <c r="A176" s="113"/>
      <c r="B176" s="291" t="s">
        <v>415</v>
      </c>
      <c r="C176" s="114" t="s">
        <v>230</v>
      </c>
      <c r="D176" s="111"/>
      <c r="E176" s="111"/>
      <c r="F176" s="115"/>
      <c r="G176" s="111"/>
      <c r="H176" s="111"/>
      <c r="I176" s="111"/>
      <c r="J176" s="111"/>
      <c r="K176" s="111"/>
      <c r="L176" s="111"/>
      <c r="M176" s="111"/>
      <c r="N176" s="111"/>
      <c r="Q176" s="118" t="str">
        <f>IF(OR(COUNTA(B181)=1,D179&gt;=90),criteria!I76,IF(D179&gt;=71,criteria!G76,IF(D179&gt;=60,criteria!E76,IF(D179&lt;60,criteria!C76))))</f>
        <v>Above 90-100%  compliance</v>
      </c>
    </row>
    <row r="177" spans="1:14" ht="14.25">
      <c r="A177" s="113"/>
      <c r="B177" s="107"/>
      <c r="C177" s="114"/>
      <c r="D177" s="111"/>
      <c r="E177" s="111"/>
      <c r="F177" s="115"/>
      <c r="G177" s="111"/>
      <c r="H177" s="111"/>
      <c r="I177" s="111"/>
      <c r="J177" s="111"/>
      <c r="K177" s="111"/>
      <c r="L177" s="111"/>
      <c r="M177" s="111"/>
      <c r="N177" s="111"/>
    </row>
    <row r="178" spans="1:14" ht="14.25">
      <c r="A178" s="113"/>
      <c r="B178" s="107"/>
      <c r="C178" s="114" t="s">
        <v>319</v>
      </c>
      <c r="D178" s="111"/>
      <c r="E178" s="111"/>
      <c r="F178" s="115"/>
      <c r="G178" s="111"/>
      <c r="H178" s="111"/>
      <c r="I178" s="111"/>
      <c r="J178" s="111"/>
      <c r="K178" s="111"/>
      <c r="L178" s="111"/>
      <c r="M178" s="111"/>
      <c r="N178" s="111"/>
    </row>
    <row r="179" spans="1:14" ht="14.25">
      <c r="A179" s="113"/>
      <c r="B179" s="107"/>
      <c r="C179" s="114"/>
      <c r="D179" s="124"/>
      <c r="E179" s="111" t="s">
        <v>320</v>
      </c>
      <c r="F179" s="115"/>
      <c r="G179" s="111"/>
      <c r="H179" s="111"/>
      <c r="I179" s="111"/>
      <c r="J179" s="111"/>
      <c r="K179" s="111"/>
      <c r="L179" s="111"/>
      <c r="M179" s="111"/>
      <c r="N179" s="111"/>
    </row>
    <row r="180" spans="1:14" ht="14.25">
      <c r="A180" s="113"/>
      <c r="B180" s="107"/>
      <c r="C180" s="114"/>
      <c r="D180" s="111"/>
      <c r="E180" s="111"/>
      <c r="F180" s="115"/>
      <c r="G180" s="111"/>
      <c r="H180" s="111"/>
      <c r="I180" s="111"/>
      <c r="J180" s="111"/>
      <c r="K180" s="111"/>
      <c r="L180" s="111"/>
      <c r="M180" s="111"/>
      <c r="N180" s="111"/>
    </row>
    <row r="181" spans="1:14" ht="15" customHeight="1">
      <c r="A181" s="113"/>
      <c r="B181" s="291" t="s">
        <v>415</v>
      </c>
      <c r="C181" s="114" t="s">
        <v>321</v>
      </c>
      <c r="D181" s="111"/>
      <c r="E181" s="111"/>
      <c r="F181" s="115"/>
      <c r="G181" s="111"/>
      <c r="H181" s="111"/>
      <c r="I181" s="111"/>
      <c r="J181" s="111"/>
      <c r="K181" s="111"/>
      <c r="L181" s="111"/>
      <c r="M181" s="111"/>
      <c r="N181" s="111"/>
    </row>
    <row r="182" spans="1:14" ht="14.25">
      <c r="A182" s="113"/>
      <c r="B182" s="107"/>
      <c r="C182" s="114"/>
      <c r="D182" s="111"/>
      <c r="E182" s="111"/>
      <c r="F182" s="115"/>
      <c r="G182" s="111"/>
      <c r="H182" s="111"/>
      <c r="I182" s="111"/>
      <c r="J182" s="111"/>
      <c r="K182" s="111"/>
      <c r="L182" s="111"/>
      <c r="M182" s="111"/>
      <c r="N182" s="111"/>
    </row>
    <row r="183" spans="1:14" ht="14.25">
      <c r="A183" s="113" t="s">
        <v>322</v>
      </c>
      <c r="B183" s="107"/>
      <c r="C183" s="114"/>
      <c r="D183" s="111"/>
      <c r="E183" s="111"/>
      <c r="F183" s="115"/>
      <c r="G183" s="111"/>
      <c r="H183" s="111"/>
      <c r="I183" s="111"/>
      <c r="J183" s="111"/>
      <c r="K183" s="111"/>
      <c r="L183" s="111"/>
      <c r="M183" s="111"/>
      <c r="N183" s="111"/>
    </row>
    <row r="184" spans="1:17" ht="14.25">
      <c r="A184" s="113" t="s">
        <v>323</v>
      </c>
      <c r="B184" s="107"/>
      <c r="C184" s="114"/>
      <c r="D184" s="111"/>
      <c r="E184" s="111"/>
      <c r="F184" s="115"/>
      <c r="G184" s="111"/>
      <c r="H184" s="111"/>
      <c r="I184" s="111"/>
      <c r="J184" s="111"/>
      <c r="K184" s="111"/>
      <c r="L184" s="111"/>
      <c r="M184" s="111"/>
      <c r="N184" s="111"/>
      <c r="Q184" s="120" t="str">
        <f>IF(Q192=3,criteria!I79,IF(Q192=2,criteria!G79,IF(Q192=1,criteria!E79,criteria!C79)))</f>
        <v>Fully Compliant </v>
      </c>
    </row>
    <row r="185" spans="1:14" ht="14.25">
      <c r="A185" s="113"/>
      <c r="B185" s="107"/>
      <c r="C185" s="114"/>
      <c r="D185" s="111"/>
      <c r="E185" s="111"/>
      <c r="F185" s="115"/>
      <c r="G185" s="111"/>
      <c r="H185" s="111"/>
      <c r="I185" s="111"/>
      <c r="J185" s="111"/>
      <c r="K185" s="111"/>
      <c r="L185" s="111"/>
      <c r="M185" s="111"/>
      <c r="N185" s="111"/>
    </row>
    <row r="186" spans="1:17" ht="15" customHeight="1">
      <c r="A186" s="113"/>
      <c r="B186" s="291" t="s">
        <v>415</v>
      </c>
      <c r="C186" s="114" t="s">
        <v>324</v>
      </c>
      <c r="D186" s="111"/>
      <c r="E186" s="111"/>
      <c r="F186" s="115"/>
      <c r="G186" s="111"/>
      <c r="H186" s="111"/>
      <c r="I186" s="111"/>
      <c r="J186" s="111"/>
      <c r="K186" s="111"/>
      <c r="L186" s="111"/>
      <c r="M186" s="111"/>
      <c r="N186" s="111"/>
      <c r="Q186" s="112">
        <f>IF(COUNTA(B186)=1,1,0)</f>
        <v>1</v>
      </c>
    </row>
    <row r="187" spans="1:14" ht="14.25">
      <c r="A187" s="113"/>
      <c r="B187" s="107"/>
      <c r="C187" s="114" t="s">
        <v>325</v>
      </c>
      <c r="D187" s="111"/>
      <c r="E187" s="111"/>
      <c r="F187" s="115"/>
      <c r="G187" s="111"/>
      <c r="H187" s="111"/>
      <c r="I187" s="111"/>
      <c r="J187" s="111"/>
      <c r="K187" s="111"/>
      <c r="L187" s="111"/>
      <c r="M187" s="111"/>
      <c r="N187" s="111"/>
    </row>
    <row r="188" spans="1:14" ht="14.25">
      <c r="A188" s="113"/>
      <c r="B188" s="107"/>
      <c r="C188" s="114"/>
      <c r="D188" s="111"/>
      <c r="E188" s="111"/>
      <c r="F188" s="115"/>
      <c r="G188" s="111"/>
      <c r="H188" s="111"/>
      <c r="I188" s="111"/>
      <c r="J188" s="111"/>
      <c r="K188" s="111"/>
      <c r="L188" s="111"/>
      <c r="M188" s="111"/>
      <c r="N188" s="111"/>
    </row>
    <row r="189" spans="1:17" ht="15" customHeight="1">
      <c r="A189" s="113"/>
      <c r="B189" s="291" t="s">
        <v>415</v>
      </c>
      <c r="C189" s="114" t="s">
        <v>326</v>
      </c>
      <c r="D189" s="111"/>
      <c r="E189" s="111"/>
      <c r="F189" s="115"/>
      <c r="G189" s="111"/>
      <c r="H189" s="111"/>
      <c r="I189" s="111"/>
      <c r="J189" s="111"/>
      <c r="K189" s="111"/>
      <c r="L189" s="111"/>
      <c r="M189" s="111"/>
      <c r="N189" s="111"/>
      <c r="Q189" s="112">
        <f>IF(COUNTA(B189)=1,1,0)</f>
        <v>1</v>
      </c>
    </row>
    <row r="190" spans="1:14" ht="14.25">
      <c r="A190" s="113"/>
      <c r="B190" s="107"/>
      <c r="C190" s="114"/>
      <c r="D190" s="111"/>
      <c r="E190" s="111"/>
      <c r="F190" s="115"/>
      <c r="G190" s="111"/>
      <c r="H190" s="111"/>
      <c r="I190" s="111"/>
      <c r="J190" s="111"/>
      <c r="K190" s="111"/>
      <c r="L190" s="111"/>
      <c r="M190" s="111"/>
      <c r="N190" s="111"/>
    </row>
    <row r="191" spans="1:17" ht="15" customHeight="1">
      <c r="A191" s="113"/>
      <c r="B191" s="291" t="s">
        <v>415</v>
      </c>
      <c r="C191" s="114" t="s">
        <v>327</v>
      </c>
      <c r="D191" s="111"/>
      <c r="E191" s="111"/>
      <c r="F191" s="115"/>
      <c r="G191" s="111"/>
      <c r="H191" s="111"/>
      <c r="I191" s="111"/>
      <c r="J191" s="111"/>
      <c r="K191" s="111"/>
      <c r="L191" s="111"/>
      <c r="M191" s="111"/>
      <c r="N191" s="111"/>
      <c r="Q191" s="112">
        <f>IF(COUNTA(B191)=1,1,0)</f>
        <v>1</v>
      </c>
    </row>
    <row r="192" spans="1:17" ht="14.25">
      <c r="A192" s="113"/>
      <c r="B192" s="107"/>
      <c r="C192" s="114" t="s">
        <v>328</v>
      </c>
      <c r="D192" s="111"/>
      <c r="E192" s="111"/>
      <c r="F192" s="115"/>
      <c r="G192" s="111"/>
      <c r="H192" s="111"/>
      <c r="I192" s="111"/>
      <c r="J192" s="111"/>
      <c r="K192" s="111"/>
      <c r="L192" s="111"/>
      <c r="M192" s="111"/>
      <c r="N192" s="111"/>
      <c r="Q192" s="112">
        <f>SUM(Q186:Q191)</f>
        <v>3</v>
      </c>
    </row>
    <row r="193" spans="1:14" ht="14.25">
      <c r="A193" s="113"/>
      <c r="B193" s="107"/>
      <c r="C193" s="114"/>
      <c r="D193" s="111"/>
      <c r="E193" s="111"/>
      <c r="F193" s="115"/>
      <c r="G193" s="111"/>
      <c r="H193" s="111"/>
      <c r="I193" s="111"/>
      <c r="J193" s="111"/>
      <c r="K193" s="111"/>
      <c r="L193" s="111"/>
      <c r="M193" s="111"/>
      <c r="N193" s="111"/>
    </row>
    <row r="194" spans="1:14" ht="15">
      <c r="A194" s="113" t="s">
        <v>329</v>
      </c>
      <c r="B194" s="107"/>
      <c r="C194" s="114"/>
      <c r="D194" s="111"/>
      <c r="E194" s="111"/>
      <c r="F194" s="115"/>
      <c r="G194" s="111"/>
      <c r="H194" s="111"/>
      <c r="I194" s="111"/>
      <c r="J194" s="111"/>
      <c r="K194" s="111"/>
      <c r="L194" s="111"/>
      <c r="M194" s="111"/>
      <c r="N194" s="111"/>
    </row>
    <row r="195" spans="1:17" ht="14.25">
      <c r="A195" s="113" t="s">
        <v>330</v>
      </c>
      <c r="B195" s="107"/>
      <c r="C195" s="114"/>
      <c r="D195" s="111"/>
      <c r="E195" s="111"/>
      <c r="F195" s="115"/>
      <c r="G195" s="111"/>
      <c r="H195" s="111"/>
      <c r="I195" s="111"/>
      <c r="J195" s="111"/>
      <c r="K195" s="111"/>
      <c r="L195" s="111"/>
      <c r="M195" s="111"/>
      <c r="N195" s="111"/>
      <c r="Q195" s="120" t="str">
        <f>IF(Q202=3,criteria!I81,IF(AND(Q202=2,Q197=1),criteria!G81,IF(AND(Q202=1,Q197=1),criteria!E81,criteria!C81)))</f>
        <v>Fully Compliant </v>
      </c>
    </row>
    <row r="196" spans="1:14" ht="15" customHeight="1">
      <c r="A196" s="113"/>
      <c r="B196" s="107"/>
      <c r="C196" s="114"/>
      <c r="D196" s="111"/>
      <c r="E196" s="111"/>
      <c r="F196" s="115"/>
      <c r="G196" s="111"/>
      <c r="H196" s="111"/>
      <c r="I196" s="111"/>
      <c r="J196" s="111"/>
      <c r="K196" s="111"/>
      <c r="L196" s="111"/>
      <c r="M196" s="111"/>
      <c r="N196" s="111"/>
    </row>
    <row r="197" spans="1:17" ht="15" customHeight="1">
      <c r="A197" s="113"/>
      <c r="B197" s="291" t="s">
        <v>415</v>
      </c>
      <c r="C197" s="114" t="s">
        <v>331</v>
      </c>
      <c r="D197" s="111"/>
      <c r="E197" s="111"/>
      <c r="F197" s="115"/>
      <c r="G197" s="111"/>
      <c r="H197" s="111"/>
      <c r="I197" s="111"/>
      <c r="J197" s="111"/>
      <c r="K197" s="111"/>
      <c r="L197" s="111"/>
      <c r="M197" s="111"/>
      <c r="N197" s="111"/>
      <c r="Q197" s="112">
        <f>IF(COUNTA(B197)=1,1,0)</f>
        <v>1</v>
      </c>
    </row>
    <row r="198" spans="1:14" ht="15" customHeight="1">
      <c r="A198" s="113"/>
      <c r="B198" s="107"/>
      <c r="C198" s="114"/>
      <c r="D198" s="111"/>
      <c r="E198" s="111"/>
      <c r="F198" s="115"/>
      <c r="G198" s="111"/>
      <c r="H198" s="111"/>
      <c r="I198" s="111"/>
      <c r="J198" s="111"/>
      <c r="K198" s="111"/>
      <c r="L198" s="111"/>
      <c r="M198" s="111"/>
      <c r="N198" s="111"/>
    </row>
    <row r="199" spans="1:17" ht="15" customHeight="1">
      <c r="A199" s="113"/>
      <c r="B199" s="291" t="s">
        <v>415</v>
      </c>
      <c r="C199" s="114" t="s">
        <v>332</v>
      </c>
      <c r="D199" s="111"/>
      <c r="E199" s="111"/>
      <c r="F199" s="115"/>
      <c r="G199" s="111"/>
      <c r="H199" s="111"/>
      <c r="I199" s="111"/>
      <c r="J199" s="111"/>
      <c r="K199" s="111"/>
      <c r="L199" s="111"/>
      <c r="M199" s="111"/>
      <c r="N199" s="111"/>
      <c r="Q199" s="112">
        <f>IF(COUNTA(B199)=1,1,0)</f>
        <v>1</v>
      </c>
    </row>
    <row r="200" spans="1:14" ht="15" customHeight="1">
      <c r="A200" s="113"/>
      <c r="B200" s="107"/>
      <c r="C200" s="114"/>
      <c r="D200" s="111"/>
      <c r="E200" s="111"/>
      <c r="F200" s="115"/>
      <c r="G200" s="111"/>
      <c r="H200" s="111"/>
      <c r="I200" s="111"/>
      <c r="J200" s="111"/>
      <c r="K200" s="111"/>
      <c r="L200" s="111"/>
      <c r="M200" s="111"/>
      <c r="N200" s="111"/>
    </row>
    <row r="201" spans="1:17" ht="15" customHeight="1">
      <c r="A201" s="113"/>
      <c r="B201" s="291" t="s">
        <v>415</v>
      </c>
      <c r="C201" s="114" t="s">
        <v>333</v>
      </c>
      <c r="D201" s="111"/>
      <c r="E201" s="111"/>
      <c r="F201" s="115"/>
      <c r="G201" s="111"/>
      <c r="H201" s="111"/>
      <c r="I201" s="111"/>
      <c r="J201" s="111"/>
      <c r="K201" s="111"/>
      <c r="L201" s="111"/>
      <c r="M201" s="111"/>
      <c r="N201" s="111"/>
      <c r="Q201" s="112">
        <f>IF(COUNTA(B201)=1,1,0)</f>
        <v>1</v>
      </c>
    </row>
    <row r="202" spans="1:17" ht="15" customHeight="1">
      <c r="A202" s="113"/>
      <c r="B202" s="107"/>
      <c r="C202" s="114" t="s">
        <v>334</v>
      </c>
      <c r="D202" s="111"/>
      <c r="E202" s="111"/>
      <c r="F202" s="115"/>
      <c r="G202" s="111"/>
      <c r="H202" s="111"/>
      <c r="I202" s="111"/>
      <c r="J202" s="111"/>
      <c r="K202" s="111"/>
      <c r="L202" s="111"/>
      <c r="M202" s="111"/>
      <c r="N202" s="111"/>
      <c r="Q202" s="112">
        <f>SUM(Q197:Q201)</f>
        <v>3</v>
      </c>
    </row>
    <row r="203" ht="15" customHeight="1">
      <c r="B203" s="107"/>
    </row>
  </sheetData>
  <sheetProtection password="D52D" sheet="1" objects="1" scenarios="1" formatCells="0" selectLockedCells="1"/>
  <mergeCells count="9">
    <mergeCell ref="F87:G87"/>
    <mergeCell ref="E136:G136"/>
    <mergeCell ref="D2:H2"/>
    <mergeCell ref="K2:N2"/>
    <mergeCell ref="D3:H3"/>
    <mergeCell ref="K3:N3"/>
    <mergeCell ref="D81:E81"/>
    <mergeCell ref="G81:H81"/>
    <mergeCell ref="A6:N6"/>
  </mergeCells>
  <printOptions/>
  <pageMargins left="0.7" right="0.7" top="0.75" bottom="0.75" header="0.3" footer="0.5118055555555555"/>
  <pageSetup horizontalDpi="600" verticalDpi="600" orientation="portrait" paperSize="9" scale="73" r:id="rId1"/>
  <headerFooter alignWithMargins="0">
    <oddHeader>&amp;C&amp;"Calibri,Regular"&amp;11AGENCY PROCUREMENT COMPLIANCE AND PERFORMANCE INDICATOR (APCPI) 
CONFIRMATION QUESTIONNAIRE</oddHeader>
  </headerFooter>
  <rowBreaks count="2" manualBreakCount="2">
    <brk id="66" max="255" man="1"/>
    <brk id="134"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H106"/>
  <sheetViews>
    <sheetView zoomScale="110" zoomScaleNormal="110" zoomScalePageLayoutView="0" workbookViewId="0" topLeftCell="A82">
      <selection activeCell="A9" sqref="A9"/>
    </sheetView>
  </sheetViews>
  <sheetFormatPr defaultColWidth="9.140625" defaultRowHeight="12.75"/>
  <cols>
    <col min="1" max="1" width="3.421875" style="125" customWidth="1"/>
    <col min="2" max="2" width="45.8515625" style="94" customWidth="1"/>
    <col min="3" max="3" width="12.00390625" style="126" customWidth="1"/>
    <col min="4" max="4" width="12.7109375" style="127" customWidth="1"/>
    <col min="5" max="5" width="25.8515625" style="94" customWidth="1"/>
    <col min="6" max="6" width="0" style="94" hidden="1" customWidth="1"/>
    <col min="7" max="7" width="32.28125" style="94" customWidth="1"/>
    <col min="8" max="8" width="8.140625" style="88" customWidth="1"/>
    <col min="9" max="16384" width="9.140625" style="88" customWidth="1"/>
  </cols>
  <sheetData>
    <row r="1" spans="1:7" s="131" customFormat="1" ht="12.75">
      <c r="A1" s="128"/>
      <c r="B1" s="129"/>
      <c r="C1" s="129"/>
      <c r="D1" s="129"/>
      <c r="E1" s="130"/>
      <c r="F1" s="129"/>
      <c r="G1" s="129"/>
    </row>
    <row r="2" spans="2:7" s="131" customFormat="1" ht="12.75" customHeight="1">
      <c r="B2" s="132"/>
      <c r="C2" s="132"/>
      <c r="D2" s="133" t="s">
        <v>335</v>
      </c>
      <c r="E2" s="134"/>
      <c r="F2" s="132"/>
      <c r="G2" s="132"/>
    </row>
    <row r="3" spans="2:7" s="135" customFormat="1" ht="15.75" customHeight="1">
      <c r="B3" s="136"/>
      <c r="C3" s="136"/>
      <c r="D3" s="137" t="s">
        <v>1</v>
      </c>
      <c r="E3" s="138"/>
      <c r="F3" s="136"/>
      <c r="G3" s="136"/>
    </row>
    <row r="4" spans="2:7" s="135" customFormat="1" ht="15.75" customHeight="1">
      <c r="B4" s="136"/>
      <c r="C4" s="136"/>
      <c r="D4" s="137" t="s">
        <v>336</v>
      </c>
      <c r="E4" s="138"/>
      <c r="F4" s="136"/>
      <c r="G4" s="136"/>
    </row>
    <row r="5" spans="1:7" s="131" customFormat="1" ht="12.75">
      <c r="A5" s="139"/>
      <c r="B5" s="140"/>
      <c r="C5" s="140"/>
      <c r="D5" s="140"/>
      <c r="E5" s="140"/>
      <c r="F5" s="140"/>
      <c r="G5" s="140"/>
    </row>
    <row r="6" spans="1:7" ht="12.75">
      <c r="A6" s="141"/>
      <c r="B6" s="142"/>
      <c r="C6" s="143"/>
      <c r="D6" s="144"/>
      <c r="E6" s="99"/>
      <c r="F6" s="142"/>
      <c r="G6" s="142"/>
    </row>
    <row r="7" spans="1:8" ht="12.75" customHeight="1">
      <c r="A7" s="145" t="s">
        <v>409</v>
      </c>
      <c r="B7" s="146"/>
      <c r="C7" s="143"/>
      <c r="D7" s="147"/>
      <c r="G7" s="7" t="s">
        <v>410</v>
      </c>
      <c r="H7" s="148"/>
    </row>
    <row r="8" spans="1:7" ht="12.75" customHeight="1">
      <c r="A8" s="145" t="s">
        <v>442</v>
      </c>
      <c r="B8" s="146"/>
      <c r="G8" s="146" t="s">
        <v>411</v>
      </c>
    </row>
    <row r="11" spans="1:7" s="131" customFormat="1" ht="12.75" customHeight="1">
      <c r="A11" s="149" t="s">
        <v>87</v>
      </c>
      <c r="B11" s="315" t="s">
        <v>88</v>
      </c>
      <c r="C11" s="316" t="s">
        <v>64</v>
      </c>
      <c r="D11" s="317" t="s">
        <v>337</v>
      </c>
      <c r="E11" s="318" t="s">
        <v>338</v>
      </c>
      <c r="F11" s="150" t="s">
        <v>339</v>
      </c>
      <c r="G11" s="315" t="s">
        <v>340</v>
      </c>
    </row>
    <row r="12" spans="1:7" s="131" customFormat="1" ht="12.75">
      <c r="A12" s="151"/>
      <c r="B12" s="315"/>
      <c r="C12" s="316"/>
      <c r="D12" s="317"/>
      <c r="E12" s="318"/>
      <c r="F12" s="150"/>
      <c r="G12" s="315"/>
    </row>
    <row r="13" spans="1:7" s="131" customFormat="1" ht="12.75" customHeight="1">
      <c r="A13" s="152" t="s">
        <v>95</v>
      </c>
      <c r="B13" s="153"/>
      <c r="C13" s="153"/>
      <c r="D13" s="153"/>
      <c r="E13" s="154"/>
      <c r="F13" s="153"/>
      <c r="G13" s="155"/>
    </row>
    <row r="14" spans="1:7" s="131" customFormat="1" ht="12.75" customHeight="1">
      <c r="A14" s="156" t="s">
        <v>97</v>
      </c>
      <c r="B14" s="157"/>
      <c r="C14" s="157"/>
      <c r="D14" s="157"/>
      <c r="E14" s="154"/>
      <c r="F14" s="157"/>
      <c r="G14" s="158"/>
    </row>
    <row r="15" spans="1:7" ht="25.5">
      <c r="A15" s="159">
        <v>1</v>
      </c>
      <c r="B15" s="160" t="s">
        <v>99</v>
      </c>
      <c r="C15" s="161">
        <f>computation!C2</f>
        <v>0.8054867215014201</v>
      </c>
      <c r="D15" s="162">
        <f>IF(C15="n/a","n/a",IF(C15&lt;criteria!E8,criteria!$D$5,IF(C15&lt;criteria!G8,criteria!$F$5,IF(C15&lt;criteria!I8,criteria!$H$5,criteria!$J$5))))</f>
        <v>1</v>
      </c>
      <c r="E15" s="163"/>
      <c r="F15" s="163"/>
      <c r="G15" s="160" t="s">
        <v>341</v>
      </c>
    </row>
    <row r="16" spans="1:7" ht="25.5">
      <c r="A16" s="159">
        <v>2</v>
      </c>
      <c r="B16" s="160" t="s">
        <v>342</v>
      </c>
      <c r="C16" s="161">
        <f>computation!C3</f>
        <v>0.086</v>
      </c>
      <c r="D16" s="162">
        <f>IF(C16="n/a","n/a",IF(C16&lt;criteria!E9,criteria!$D$5,IF(C16&lt;criteria!G9,criteria!$F$5,IF(C16&gt;criteria!I9,criteria!$J$5,criteria!$H$5))))</f>
        <v>0</v>
      </c>
      <c r="E16" s="163"/>
      <c r="F16" s="163"/>
      <c r="G16" s="160" t="s">
        <v>341</v>
      </c>
    </row>
    <row r="17" spans="1:7" s="131" customFormat="1" ht="12.75">
      <c r="A17" s="164"/>
      <c r="B17" s="165"/>
      <c r="C17" s="166"/>
      <c r="D17" s="167"/>
      <c r="E17" s="163"/>
      <c r="F17" s="160"/>
      <c r="G17" s="160"/>
    </row>
    <row r="18" spans="1:7" s="131" customFormat="1" ht="12.75" customHeight="1">
      <c r="A18" s="156" t="s">
        <v>343</v>
      </c>
      <c r="B18" s="157"/>
      <c r="C18" s="157"/>
      <c r="D18" s="157"/>
      <c r="E18" s="154"/>
      <c r="F18" s="157"/>
      <c r="G18" s="158"/>
    </row>
    <row r="19" spans="1:7" ht="25.5">
      <c r="A19" s="159">
        <v>3</v>
      </c>
      <c r="B19" s="160" t="s">
        <v>111</v>
      </c>
      <c r="C19" s="161">
        <f>computation!C4</f>
        <v>0.023942475633344087</v>
      </c>
      <c r="D19" s="162">
        <f>IF(C19="n/a","n/a",IF(C19&lt;criteria!I12,criteria!$J$5,IF(C19&lt;criteria!G12,criteria!$H$5,IF(C19&gt;criteria!E12,criteria!$D$5,criteria!$F$5))))</f>
        <v>3</v>
      </c>
      <c r="E19" s="163"/>
      <c r="F19" s="163"/>
      <c r="G19" s="160" t="s">
        <v>341</v>
      </c>
    </row>
    <row r="20" spans="1:7" ht="25.5">
      <c r="A20" s="159">
        <f>A19+1</f>
        <v>4</v>
      </c>
      <c r="B20" s="160" t="s">
        <v>117</v>
      </c>
      <c r="C20" s="161">
        <f>computation!C5</f>
        <v>0.15100185851860923</v>
      </c>
      <c r="D20" s="162">
        <f>IF(C20="n/a","n/a",IF(C20&lt;criteria!I13,criteria!$J$5,IF(C20&lt;criteria!G13,criteria!$H$5,IF(C20&gt;criteria!E13,criteria!$D$5,criteria!$F$5))))</f>
        <v>0</v>
      </c>
      <c r="E20" s="163"/>
      <c r="F20" s="163"/>
      <c r="G20" s="160" t="s">
        <v>341</v>
      </c>
    </row>
    <row r="21" spans="1:7" ht="25.5">
      <c r="A21" s="159">
        <f>A20+1</f>
        <v>5</v>
      </c>
      <c r="B21" s="160" t="s">
        <v>121</v>
      </c>
      <c r="C21" s="161">
        <f>computation!C6</f>
        <v>0.006843723189217567</v>
      </c>
      <c r="D21" s="162">
        <f>IF(C21="n/a","n/a",IF(C21&lt;criteria!I14,criteria!$J$5,IF(C21&lt;criteria!G14,criteria!$H$5,IF(C21&gt;criteria!E14,criteria!$D$5,criteria!$F$5))))</f>
        <v>3</v>
      </c>
      <c r="E21" s="163"/>
      <c r="F21" s="163"/>
      <c r="G21" s="160" t="s">
        <v>341</v>
      </c>
    </row>
    <row r="22" spans="1:7" ht="25.5">
      <c r="A22" s="159">
        <f>A21+1</f>
        <v>6</v>
      </c>
      <c r="B22" s="160" t="s">
        <v>126</v>
      </c>
      <c r="C22" s="161">
        <f>computation!C7</f>
        <v>0.012725221157409074</v>
      </c>
      <c r="D22" s="162">
        <f>IF(C22="n/a","n/a",IF(C22&lt;criteria!I15,criteria!$J$5,IF(C22&lt;criteria!G15,criteria!$H$5,IF(C22&gt;criteria!E15,criteria!$D$5,criteria!$F$5))))</f>
        <v>2</v>
      </c>
      <c r="E22" s="163"/>
      <c r="F22" s="163"/>
      <c r="G22" s="160" t="s">
        <v>341</v>
      </c>
    </row>
    <row r="23" spans="1:7" ht="25.5">
      <c r="A23" s="159">
        <f>A22+1</f>
        <v>7</v>
      </c>
      <c r="B23" s="160" t="s">
        <v>128</v>
      </c>
      <c r="C23" s="161">
        <f>computation!C8</f>
        <v>0</v>
      </c>
      <c r="D23" s="162">
        <f>IF(C23="n/a","n/a",IF(C23&lt;criteria!I16,criteria!$J$5,IF(C23&lt;criteria!G16,criteria!$H$5,IF(C23&gt;criteria!E16,criteria!$D$5,criteria!$F$5))))</f>
        <v>3</v>
      </c>
      <c r="E23" s="163"/>
      <c r="F23" s="163"/>
      <c r="G23" s="160" t="s">
        <v>341</v>
      </c>
    </row>
    <row r="24" spans="1:7" ht="51">
      <c r="A24" s="159">
        <f>A23+1</f>
        <v>8</v>
      </c>
      <c r="B24" s="160" t="s">
        <v>130</v>
      </c>
      <c r="C24" s="168" t="str">
        <f>Questionnaire!Q15</f>
        <v>Compliant </v>
      </c>
      <c r="D24" s="162">
        <f>IF(C24="n/a","n/a",IF(C24=criteria!C17,criteria!$D$5,IF(C24=criteria!E17,criteria!$F$5,IF(C24=criteria!G17,criteria!$H$5,IF(C24=criteria!I17,criteria!$J$5,0)))))</f>
        <v>3</v>
      </c>
      <c r="E24" s="163"/>
      <c r="F24" s="163"/>
      <c r="G24" s="160" t="s">
        <v>344</v>
      </c>
    </row>
    <row r="25" spans="1:7" s="131" customFormat="1" ht="12.75">
      <c r="A25" s="164"/>
      <c r="B25" s="165"/>
      <c r="C25" s="166"/>
      <c r="D25" s="167"/>
      <c r="E25" s="163"/>
      <c r="F25" s="160"/>
      <c r="G25" s="160"/>
    </row>
    <row r="26" spans="1:7" s="131" customFormat="1" ht="12.75" customHeight="1">
      <c r="A26" s="156" t="s">
        <v>132</v>
      </c>
      <c r="B26" s="157"/>
      <c r="C26" s="157"/>
      <c r="D26" s="157"/>
      <c r="E26" s="154"/>
      <c r="F26" s="157"/>
      <c r="G26" s="158"/>
    </row>
    <row r="27" spans="1:7" ht="25.5">
      <c r="A27" s="159">
        <v>9</v>
      </c>
      <c r="B27" s="169" t="s">
        <v>133</v>
      </c>
      <c r="C27" s="170">
        <f>IF(ISERROR(computation!C9),"n/a",computation!C9)</f>
        <v>1.4893617021276595</v>
      </c>
      <c r="D27" s="162">
        <f>IF(C27="n/a","n/a",IF(C27&lt;criteria!E20,criteria!$D$5,IF(C27&lt;criteria!G20,criteria!$F$5,IF(C27&lt;criteria!I20,criteria!$H$5,criteria!$J$5))))</f>
        <v>0</v>
      </c>
      <c r="E27" s="171"/>
      <c r="F27" s="163"/>
      <c r="G27" s="160" t="s">
        <v>345</v>
      </c>
    </row>
    <row r="28" spans="1:7" ht="25.5">
      <c r="A28" s="159">
        <f>A27+1</f>
        <v>10</v>
      </c>
      <c r="B28" s="169" t="s">
        <v>138</v>
      </c>
      <c r="C28" s="170">
        <f>IF(ISERROR(computation!C10),"n/a",computation!C10)</f>
        <v>1.3404255319148937</v>
      </c>
      <c r="D28" s="162">
        <f>IF(C28="n/a","n/a",IF(C28&lt;criteria!E21,criteria!$D$5,IF(C28&lt;criteria!G21,criteria!$F$5,IF(C28&lt;criteria!I21,criteria!$H$5,criteria!$J$5))))</f>
        <v>0</v>
      </c>
      <c r="E28" s="172"/>
      <c r="F28" s="163"/>
      <c r="G28" s="160" t="s">
        <v>346</v>
      </c>
    </row>
    <row r="29" spans="1:7" ht="25.5">
      <c r="A29" s="159">
        <f>A28+1</f>
        <v>11</v>
      </c>
      <c r="B29" s="160" t="s">
        <v>144</v>
      </c>
      <c r="C29" s="170">
        <f>IF(ISERROR(computation!C11),"n/a",computation!C11)</f>
        <v>1.1702127659574468</v>
      </c>
      <c r="D29" s="162">
        <f>IF(C29="n/a","n/a",IF(C29&lt;criteria!E22,criteria!$D$5,IF(C29&lt;criteria!G22,criteria!$F$5,IF(C29&lt;criteria!I22,criteria!$H$5,criteria!$J$5))))</f>
        <v>1</v>
      </c>
      <c r="E29" s="172"/>
      <c r="F29" s="163"/>
      <c r="G29" s="160" t="s">
        <v>346</v>
      </c>
    </row>
    <row r="30" spans="1:7" ht="38.25">
      <c r="A30" s="173">
        <f>A29+1</f>
        <v>12</v>
      </c>
      <c r="B30" s="160" t="s">
        <v>347</v>
      </c>
      <c r="C30" s="168" t="str">
        <f>Questionnaire!Q18</f>
        <v>Fully Compliant </v>
      </c>
      <c r="D30" s="162">
        <f>IF(C30="n/a","n/a",IF(C30=criteria!C23,criteria!$D$5,IF(C30=criteria!E23,criteria!$F$5,IF(C30=criteria!G23,criteria!$H$5,IF(C30=criteria!I23,criteria!$J$5,0)))))</f>
        <v>3</v>
      </c>
      <c r="E30" s="163"/>
      <c r="F30" s="163"/>
      <c r="G30" s="160" t="s">
        <v>345</v>
      </c>
    </row>
    <row r="31" spans="1:7" s="131" customFormat="1" ht="12.75">
      <c r="A31" s="174"/>
      <c r="B31" s="165"/>
      <c r="C31" s="166"/>
      <c r="D31" s="167"/>
      <c r="E31" s="163"/>
      <c r="F31" s="160"/>
      <c r="G31" s="160"/>
    </row>
    <row r="32" spans="1:7" s="131" customFormat="1" ht="12.75" customHeight="1">
      <c r="A32" s="156"/>
      <c r="B32" s="157"/>
      <c r="C32" s="156" t="s">
        <v>348</v>
      </c>
      <c r="D32" s="175">
        <f>IF(AND(D17="n/a",D25="n/a",D31="n/a"),"n/a",AVERAGE(D15:D30))</f>
        <v>1.5833333333333333</v>
      </c>
      <c r="E32" s="176"/>
      <c r="F32" s="177"/>
      <c r="G32" s="165"/>
    </row>
    <row r="33" spans="1:7" s="131" customFormat="1" ht="12.75" customHeight="1">
      <c r="A33" s="152" t="s">
        <v>152</v>
      </c>
      <c r="B33" s="153"/>
      <c r="C33" s="153"/>
      <c r="D33" s="153"/>
      <c r="E33" s="154"/>
      <c r="F33" s="153"/>
      <c r="G33" s="155"/>
    </row>
    <row r="34" spans="1:7" s="131" customFormat="1" ht="12.75" customHeight="1">
      <c r="A34" s="156" t="s">
        <v>153</v>
      </c>
      <c r="B34" s="157"/>
      <c r="C34" s="157"/>
      <c r="D34" s="157"/>
      <c r="E34" s="154"/>
      <c r="F34" s="157"/>
      <c r="G34" s="158"/>
    </row>
    <row r="35" spans="1:7" ht="38.25">
      <c r="A35" s="159">
        <v>13</v>
      </c>
      <c r="B35" s="160" t="s">
        <v>349</v>
      </c>
      <c r="C35" s="168" t="str">
        <f>Questionnaire!Q29</f>
        <v>Fully Compliant </v>
      </c>
      <c r="D35" s="162">
        <f>IF(C35="n/a","n/a",IF(C35=criteria!C28,criteria!$D$5,IF(C35=criteria!E28,criteria!$F$5,IF(C35=criteria!G28,criteria!$H$5,IF(C35=criteria!I28,criteria!$J$5,0)))))</f>
        <v>3</v>
      </c>
      <c r="E35" s="163"/>
      <c r="F35" s="163"/>
      <c r="G35" s="160" t="s">
        <v>350</v>
      </c>
    </row>
    <row r="36" spans="1:7" ht="38.25">
      <c r="A36" s="159">
        <v>14</v>
      </c>
      <c r="B36" s="160" t="s">
        <v>351</v>
      </c>
      <c r="C36" s="168" t="str">
        <f>Questionnaire!Q39</f>
        <v>Fully Compliant </v>
      </c>
      <c r="D36" s="162">
        <f>IF(C36="n/a","n/a",IF(C36=criteria!C29,criteria!$D$5,IF(C36=criteria!E29,criteria!$F$5,IF(C36=criteria!G29,criteria!$H$5,IF(C36=criteria!I29,criteria!$J$5,0)))))</f>
        <v>3</v>
      </c>
      <c r="E36" s="163"/>
      <c r="F36" s="163"/>
      <c r="G36" s="160" t="s">
        <v>352</v>
      </c>
    </row>
    <row r="37" spans="1:7" s="131" customFormat="1" ht="12.75">
      <c r="A37" s="164"/>
      <c r="B37" s="165"/>
      <c r="C37" s="166"/>
      <c r="D37" s="167"/>
      <c r="E37" s="163"/>
      <c r="F37" s="160"/>
      <c r="G37" s="160"/>
    </row>
    <row r="38" spans="1:7" s="131" customFormat="1" ht="12.75" customHeight="1">
      <c r="A38" s="156" t="s">
        <v>160</v>
      </c>
      <c r="B38" s="157"/>
      <c r="C38" s="157"/>
      <c r="D38" s="157"/>
      <c r="E38" s="154"/>
      <c r="F38" s="157"/>
      <c r="G38" s="158"/>
    </row>
    <row r="39" spans="1:7" ht="25.5">
      <c r="A39" s="159">
        <v>15</v>
      </c>
      <c r="B39" s="160" t="s">
        <v>161</v>
      </c>
      <c r="C39" s="168" t="str">
        <f>Questionnaire!Q10</f>
        <v>Compliant </v>
      </c>
      <c r="D39" s="178">
        <f>IF(C39="n/a","n/a",IF(C39=criteria!C32,criteria!$D$5,IF(C39=criteria!E32,criteria!$F$5,IF(C39=criteria!G32,criteria!$H$5,IF(C39=criteria!I32,criteria!$J$5,0)))))</f>
        <v>3</v>
      </c>
      <c r="E39" s="171"/>
      <c r="F39" s="179"/>
      <c r="G39" s="160" t="s">
        <v>353</v>
      </c>
    </row>
    <row r="40" spans="1:7" s="131" customFormat="1" ht="12.75" customHeight="1">
      <c r="A40" s="156" t="s">
        <v>354</v>
      </c>
      <c r="B40" s="157"/>
      <c r="C40" s="157"/>
      <c r="D40" s="157"/>
      <c r="E40" s="154"/>
      <c r="F40" s="157"/>
      <c r="G40" s="158"/>
    </row>
    <row r="41" spans="1:7" ht="25.5">
      <c r="A41" s="159">
        <v>16</v>
      </c>
      <c r="B41" s="160" t="s">
        <v>163</v>
      </c>
      <c r="C41" s="161">
        <f>IF(ISERROR(computation!C12),"n/a",computation!C12)</f>
        <v>1.0150375939849625</v>
      </c>
      <c r="D41" s="162">
        <f>IF(C41="n/a","n/a",IF(C41&lt;criteria!E34,criteria!$D$5,IF(C41&lt;criteria!G34,criteria!$F$5,IF(C41&lt;criteria!I34,criteria!$H$5,criteria!$J$5))))</f>
        <v>3</v>
      </c>
      <c r="E41" s="163"/>
      <c r="F41" s="163"/>
      <c r="G41" s="160" t="s">
        <v>345</v>
      </c>
    </row>
    <row r="42" spans="1:7" ht="25.5">
      <c r="A42" s="159">
        <f>A41+1</f>
        <v>17</v>
      </c>
      <c r="B42" s="160" t="s">
        <v>167</v>
      </c>
      <c r="C42" s="161">
        <f>IF(ISERROR(computation!C13),"n/a",computation!C13)</f>
        <v>1.0232558139534884</v>
      </c>
      <c r="D42" s="162">
        <f>IF(C42="n/a","n/a",IF(C42&gt;criteria!I35,criteria!$J$5,IF(C42&lt;criteria!E35,criteria!$D$5,IF(C42&lt;criteria!G35,criteria!$F$5,criteria!$H$5))))</f>
        <v>3</v>
      </c>
      <c r="E42" s="163"/>
      <c r="F42" s="163"/>
      <c r="G42" s="160" t="s">
        <v>345</v>
      </c>
    </row>
    <row r="43" spans="1:7" ht="38.25">
      <c r="A43" s="159">
        <f>A42+1</f>
        <v>18</v>
      </c>
      <c r="B43" s="160" t="s">
        <v>171</v>
      </c>
      <c r="C43" s="161">
        <f>IF(ISERROR(CPMR!K41),"n/a",CPMR!K41)</f>
        <v>0.9861111111111112</v>
      </c>
      <c r="D43" s="162">
        <f>IF(C43="n/a","n/a",IF(C43&gt;criteria!I36,criteria!$J$5,IF(C43&lt;criteria!E36,criteria!$D$5,IF(C43&lt;criteria!G36,criteria!$F$5,criteria!$H$5))))</f>
        <v>3</v>
      </c>
      <c r="E43" s="163"/>
      <c r="F43" s="163"/>
      <c r="G43" s="160" t="s">
        <v>345</v>
      </c>
    </row>
    <row r="44" spans="1:7" s="131" customFormat="1" ht="12.75">
      <c r="A44" s="164"/>
      <c r="B44" s="165"/>
      <c r="C44" s="166"/>
      <c r="D44" s="167"/>
      <c r="E44" s="163"/>
      <c r="F44" s="160"/>
      <c r="G44" s="160"/>
    </row>
    <row r="45" spans="1:7" s="131" customFormat="1" ht="12.75" customHeight="1">
      <c r="A45" s="156" t="s">
        <v>173</v>
      </c>
      <c r="B45" s="157"/>
      <c r="C45" s="157"/>
      <c r="D45" s="157"/>
      <c r="E45" s="154"/>
      <c r="F45" s="157"/>
      <c r="G45" s="158"/>
    </row>
    <row r="46" spans="1:7" ht="38.25">
      <c r="A46" s="173">
        <v>19</v>
      </c>
      <c r="B46" s="160" t="s">
        <v>174</v>
      </c>
      <c r="C46" s="168" t="str">
        <f>Questionnaire!Q48</f>
        <v>Fully Compliant </v>
      </c>
      <c r="D46" s="162">
        <f>IF(C46="n/a","n/a",IF(C46=criteria!C39,criteria!$D$5,IF(C46=criteria!E39,criteria!$F$5,IF(C46=criteria!G39,criteria!$H$5,IF(C46=criteria!I39,criteria!$J$5,0)))))</f>
        <v>3</v>
      </c>
      <c r="E46" s="163"/>
      <c r="F46" s="179"/>
      <c r="G46" s="160" t="s">
        <v>355</v>
      </c>
    </row>
    <row r="47" spans="1:7" ht="38.25">
      <c r="A47" s="159">
        <f>A46+1</f>
        <v>20</v>
      </c>
      <c r="B47" s="160" t="s">
        <v>175</v>
      </c>
      <c r="C47" s="168" t="str">
        <f>Questionnaire!Q57</f>
        <v>Fully Compliant </v>
      </c>
      <c r="D47" s="162">
        <f>IF(C47="n/a","n/a",IF(C47=criteria!C40,criteria!$D$5,IF(C47=criteria!E40,criteria!$F$5,IF(C47=criteria!G40,criteria!$H$5,IF(C47=criteria!I40,criteria!$J$5,0)))))</f>
        <v>3</v>
      </c>
      <c r="E47" s="163"/>
      <c r="F47" s="163"/>
      <c r="G47" s="160" t="s">
        <v>356</v>
      </c>
    </row>
    <row r="48" spans="1:7" s="131" customFormat="1" ht="12.75">
      <c r="A48" s="164"/>
      <c r="B48" s="165"/>
      <c r="C48" s="166"/>
      <c r="D48" s="167"/>
      <c r="E48" s="163"/>
      <c r="F48" s="160"/>
      <c r="G48" s="160"/>
    </row>
    <row r="49" spans="1:7" s="131" customFormat="1" ht="12.75" customHeight="1">
      <c r="A49" s="156"/>
      <c r="B49" s="157"/>
      <c r="C49" s="156" t="s">
        <v>357</v>
      </c>
      <c r="D49" s="175">
        <f>IF(AND(D37="n/a",D39="n/a",D44="n/a",D48="n/a"),"n/a",AVERAGE(D35:D47))</f>
        <v>3</v>
      </c>
      <c r="E49" s="176"/>
      <c r="F49" s="177"/>
      <c r="G49" s="165"/>
    </row>
    <row r="50" spans="1:7" s="131" customFormat="1" ht="12.75" customHeight="1">
      <c r="A50" s="152" t="s">
        <v>176</v>
      </c>
      <c r="B50" s="153"/>
      <c r="C50" s="153"/>
      <c r="D50" s="153"/>
      <c r="E50" s="154"/>
      <c r="F50" s="153"/>
      <c r="G50" s="155"/>
    </row>
    <row r="51" spans="1:7" s="131" customFormat="1" ht="12.75" customHeight="1">
      <c r="A51" s="156" t="s">
        <v>358</v>
      </c>
      <c r="B51" s="157"/>
      <c r="C51" s="157"/>
      <c r="D51" s="157"/>
      <c r="E51" s="154"/>
      <c r="F51" s="157"/>
      <c r="G51" s="158"/>
    </row>
    <row r="52" spans="1:7" s="94" customFormat="1" ht="25.5">
      <c r="A52" s="159">
        <v>21</v>
      </c>
      <c r="B52" s="160" t="s">
        <v>359</v>
      </c>
      <c r="C52" s="161">
        <f>computation!C15</f>
        <v>0.8514089823603093</v>
      </c>
      <c r="D52" s="162">
        <f>IF(C52="n/a","n/a",IF(C52&gt;criteria!C45,criteria!$D$5,IF(C52&gt;criteria!I45,criteria!$J$5,IF(C52&lt;criteria!G45,IF(C52&lt;criteria!E45,criteria!$D$5,criteria!$F$5),criteria!$H$5))))</f>
        <v>3</v>
      </c>
      <c r="E52" s="171"/>
      <c r="F52" s="179"/>
      <c r="G52" s="160" t="s">
        <v>360</v>
      </c>
    </row>
    <row r="53" spans="1:7" ht="38.25">
      <c r="A53" s="159">
        <f>A52+1</f>
        <v>22</v>
      </c>
      <c r="B53" s="160" t="s">
        <v>182</v>
      </c>
      <c r="C53" s="161">
        <f>IF(ISERROR(computation!C16),"n/a",computation!C16)</f>
        <v>0.9148936170212766</v>
      </c>
      <c r="D53" s="162">
        <f>IF(C53="n/a","n/a",IF(C53&lt;criteria!E46,criteria!$D$5,IF(C53&lt;criteria!G46,criteria!$F$5,IF(C53&gt;criteria!I46,criteria!$J$5,criteria!$H$5))))</f>
        <v>1</v>
      </c>
      <c r="E53" s="163"/>
      <c r="F53" s="179"/>
      <c r="G53" s="160" t="s">
        <v>361</v>
      </c>
    </row>
    <row r="54" spans="1:7" ht="25.5">
      <c r="A54" s="180">
        <f>A53+1</f>
        <v>23</v>
      </c>
      <c r="B54" s="181" t="s">
        <v>187</v>
      </c>
      <c r="C54" s="161">
        <f>IF(ISERROR(computation!C17),"n/a",computation!C17)</f>
        <v>0.02127659574468085</v>
      </c>
      <c r="D54" s="162">
        <f>IF(C54="n/a","n/a",IF(C54&lt;criteria!I47,criteria!$J$5,IF(C54&lt;criteria!G47,criteria!$H$5,IF(C54&gt;criteria!E47,criteria!$D$5,criteria!$F$5))))</f>
        <v>3</v>
      </c>
      <c r="E54" s="171"/>
      <c r="F54" s="179"/>
      <c r="G54" s="160" t="s">
        <v>362</v>
      </c>
    </row>
    <row r="55" spans="1:7" s="131" customFormat="1" ht="12.75">
      <c r="A55" s="182"/>
      <c r="B55" s="183"/>
      <c r="C55" s="166"/>
      <c r="D55" s="167"/>
      <c r="E55" s="171"/>
      <c r="F55" s="184"/>
      <c r="G55" s="181"/>
    </row>
    <row r="56" spans="1:7" s="131" customFormat="1" ht="12.75" customHeight="1">
      <c r="A56" s="156" t="s">
        <v>363</v>
      </c>
      <c r="B56" s="157"/>
      <c r="C56" s="157"/>
      <c r="D56" s="157"/>
      <c r="E56" s="154"/>
      <c r="F56" s="157"/>
      <c r="G56" s="158"/>
    </row>
    <row r="57" spans="1:7" ht="38.25">
      <c r="A57" s="159">
        <v>24</v>
      </c>
      <c r="B57" s="160" t="s">
        <v>364</v>
      </c>
      <c r="C57" s="161">
        <f>IF(ISERROR(computation!C18),"n/a",computation!C18)</f>
        <v>1</v>
      </c>
      <c r="D57" s="162">
        <f>IF(C57="n/a","n/a",IF(C57&lt;criteria!E50,criteria!$D$5,IF(C57&lt;criteria!G50,criteria!$F$5,IF(C57&lt;criteria!I50,criteria!$H$5,criteria!$J$5))))</f>
        <v>3</v>
      </c>
      <c r="E57" s="163"/>
      <c r="F57" s="163"/>
      <c r="G57" s="181" t="s">
        <v>341</v>
      </c>
    </row>
    <row r="58" spans="1:7" ht="45" customHeight="1">
      <c r="A58" s="159">
        <f>A57+1</f>
        <v>25</v>
      </c>
      <c r="B58" s="160" t="s">
        <v>365</v>
      </c>
      <c r="C58" s="161">
        <f>IF(ISERROR(computation!C19),"n/a",computation!C19)</f>
        <v>1.0769230769230769</v>
      </c>
      <c r="D58" s="162">
        <f>IF(C58="n/a","n/a",IF(C58&lt;criteria!E51,criteria!$D$5,IF(C58&lt;criteria!G51,criteria!$F$5,IF(C58&lt;criteria!I51,criteria!$H$5,criteria!$J$5))))</f>
        <v>3</v>
      </c>
      <c r="E58" s="163"/>
      <c r="F58" s="163" t="s">
        <v>366</v>
      </c>
      <c r="G58" s="181" t="s">
        <v>341</v>
      </c>
    </row>
    <row r="59" spans="1:7" ht="38.25">
      <c r="A59" s="159">
        <f>A58+1</f>
        <v>26</v>
      </c>
      <c r="B59" s="160" t="s">
        <v>367</v>
      </c>
      <c r="C59" s="161">
        <f>IF(ISERROR(computation!C20),"n/a",computation!C20)</f>
        <v>1</v>
      </c>
      <c r="D59" s="162">
        <f>IF(C59="n/a","n/a",IF(C59&lt;criteria!E52,criteria!$D$5,IF(C59&lt;criteria!G52,criteria!$F$5,IF(C59&lt;criteria!I52,criteria!$H$5,criteria!$J$5))))</f>
        <v>3</v>
      </c>
      <c r="E59" s="163"/>
      <c r="F59" s="163"/>
      <c r="G59" s="181" t="s">
        <v>341</v>
      </c>
    </row>
    <row r="60" spans="1:7" s="131" customFormat="1" ht="12.75">
      <c r="A60" s="164"/>
      <c r="B60" s="165"/>
      <c r="C60" s="166"/>
      <c r="D60" s="167"/>
      <c r="E60" s="163"/>
      <c r="F60" s="160"/>
      <c r="G60" s="181"/>
    </row>
    <row r="61" spans="1:7" s="131" customFormat="1" ht="12.75" customHeight="1">
      <c r="A61" s="156" t="s">
        <v>198</v>
      </c>
      <c r="B61" s="157"/>
      <c r="C61" s="157"/>
      <c r="D61" s="157"/>
      <c r="E61" s="154"/>
      <c r="F61" s="157"/>
      <c r="G61" s="158"/>
    </row>
    <row r="62" spans="1:7" ht="38.25">
      <c r="A62" s="173">
        <v>27</v>
      </c>
      <c r="B62" s="160" t="s">
        <v>199</v>
      </c>
      <c r="C62" s="168" t="str">
        <f>Questionnaire!Q68</f>
        <v>Fully Compliant </v>
      </c>
      <c r="D62" s="162">
        <f>IF(C62="n/a","n/a",IF(C62=criteria!C55,criteria!$D$5,IF(C62=criteria!E55,criteria!$F$5,IF(C62=criteria!G55,criteria!$H$5,IF(C62=criteria!I55,criteria!$J$5,0)))))</f>
        <v>3</v>
      </c>
      <c r="E62" s="163"/>
      <c r="F62" s="163"/>
      <c r="G62" s="160" t="s">
        <v>368</v>
      </c>
    </row>
    <row r="63" spans="1:7" ht="38.25">
      <c r="A63" s="173">
        <f>A62+1</f>
        <v>28</v>
      </c>
      <c r="B63" s="160" t="s">
        <v>200</v>
      </c>
      <c r="C63" s="185" t="str">
        <f>Questionnaire!Q77</f>
        <v>Between 91.00-100%</v>
      </c>
      <c r="D63" s="162">
        <f>IF(C63="n/a","n/a",IF(C63=criteria!C56,criteria!$D$5,IF(C63=criteria!E56,criteria!$F$5,IF(C63=criteria!G56,criteria!$H$5,IF(C63=criteria!I56,criteria!$J$5,0)))))</f>
        <v>3</v>
      </c>
      <c r="E63" s="163"/>
      <c r="F63" s="163"/>
      <c r="G63" s="160" t="s">
        <v>369</v>
      </c>
    </row>
    <row r="64" spans="1:7" ht="25.5">
      <c r="A64" s="159">
        <f>+A63+1</f>
        <v>29</v>
      </c>
      <c r="B64" s="160" t="s">
        <v>202</v>
      </c>
      <c r="C64" s="168" t="str">
        <f>Questionnaire!Q85</f>
        <v>Not Compliant </v>
      </c>
      <c r="D64" s="162">
        <f>IF(C64="n/a","n/a",IF(C64=criteria!C57,criteria!$D$5,IF(C64=criteria!E57,criteria!$F$5,IF(C64=criteria!G57,criteria!$H$5,IF(C64=criteria!I57,criteria!$J$5,0)))))</f>
        <v>0</v>
      </c>
      <c r="E64" s="163"/>
      <c r="F64" s="163"/>
      <c r="G64" s="160" t="s">
        <v>370</v>
      </c>
    </row>
    <row r="65" spans="1:7" s="131" customFormat="1" ht="12.75">
      <c r="A65" s="164"/>
      <c r="B65" s="165"/>
      <c r="C65" s="166"/>
      <c r="D65" s="167"/>
      <c r="E65" s="163"/>
      <c r="F65" s="160"/>
      <c r="G65" s="160"/>
    </row>
    <row r="66" spans="1:7" s="131" customFormat="1" ht="12.75" customHeight="1">
      <c r="A66" s="156" t="s">
        <v>203</v>
      </c>
      <c r="B66" s="157"/>
      <c r="C66" s="157"/>
      <c r="D66" s="157"/>
      <c r="E66" s="154"/>
      <c r="F66" s="157"/>
      <c r="G66" s="158"/>
    </row>
    <row r="67" spans="1:7" ht="89.25">
      <c r="A67" s="173">
        <v>30</v>
      </c>
      <c r="B67" s="160" t="s">
        <v>204</v>
      </c>
      <c r="C67" s="168" t="str">
        <f>Questionnaire!Q90</f>
        <v>Fully Compliant </v>
      </c>
      <c r="D67" s="162">
        <f>IF(C67="n/a","n/a",IF(C67=criteria!C60,criteria!$D$5,IF(C67=criteria!E60,criteria!$F$5,IF(C67=criteria!G60,criteria!$H$5,IF(C67=criteria!I60,criteria!$J$5,0)))))</f>
        <v>3</v>
      </c>
      <c r="E67" s="163"/>
      <c r="F67" s="186"/>
      <c r="G67" s="160" t="s">
        <v>371</v>
      </c>
    </row>
    <row r="68" spans="1:7" ht="51">
      <c r="A68" s="173">
        <f>A67+1</f>
        <v>31</v>
      </c>
      <c r="B68" s="160" t="s">
        <v>372</v>
      </c>
      <c r="C68" s="168" t="str">
        <f>Questionnaire!Q102</f>
        <v>Fully Compliant </v>
      </c>
      <c r="D68" s="162">
        <f>IF(C68="n/a","n/a",IF(C68=criteria!C61,criteria!$D$5,IF(C68=criteria!E61,criteria!$F$5,IF(C68=criteria!G61,criteria!$H$5,IF(C68=criteria!I61,criteria!$J$5,0)))))</f>
        <v>3</v>
      </c>
      <c r="E68" s="163"/>
      <c r="F68" s="163"/>
      <c r="G68" s="160" t="s">
        <v>373</v>
      </c>
    </row>
    <row r="69" spans="1:7" s="131" customFormat="1" ht="12.75">
      <c r="A69" s="174"/>
      <c r="B69" s="165"/>
      <c r="C69" s="166"/>
      <c r="D69" s="167"/>
      <c r="E69" s="163"/>
      <c r="F69" s="160"/>
      <c r="G69" s="160"/>
    </row>
    <row r="70" spans="1:7" s="131" customFormat="1" ht="12.75" customHeight="1">
      <c r="A70" s="156" t="s">
        <v>206</v>
      </c>
      <c r="B70" s="157"/>
      <c r="C70" s="157"/>
      <c r="D70" s="157"/>
      <c r="E70" s="154"/>
      <c r="F70" s="157"/>
      <c r="G70" s="158"/>
    </row>
    <row r="71" spans="1:7" ht="51">
      <c r="A71" s="173">
        <v>32</v>
      </c>
      <c r="B71" s="160" t="s">
        <v>207</v>
      </c>
      <c r="C71" s="168" t="str">
        <f>Questionnaire!Q114</f>
        <v>Fully Compliant </v>
      </c>
      <c r="D71" s="162">
        <f>IF(C71="n/a","n/a",IF(C71=criteria!C64,criteria!$D$5,IF(C71=criteria!E64,criteria!$F$5,IF(C71=criteria!G64,criteria!$H$5,IF(C71=criteria!I64,criteria!$J$5,0)))))</f>
        <v>3</v>
      </c>
      <c r="E71" s="163"/>
      <c r="F71" s="163"/>
      <c r="G71" s="160" t="s">
        <v>374</v>
      </c>
    </row>
    <row r="72" spans="1:7" ht="38.25">
      <c r="A72" s="173">
        <f>A71+1</f>
        <v>33</v>
      </c>
      <c r="B72" s="160" t="s">
        <v>208</v>
      </c>
      <c r="C72" s="168" t="str">
        <f>Questionnaire!Q126</f>
        <v>Fully Compliant </v>
      </c>
      <c r="D72" s="162">
        <f>IF(C72="n/a","n/a",IF(C72=criteria!C65,criteria!$D$5,IF(C72=criteria!E65,criteria!$F$5,IF(C72=criteria!G65,criteria!$H$5,IF(C72=criteria!I65,criteria!$J$5,0)))))</f>
        <v>3</v>
      </c>
      <c r="E72" s="186"/>
      <c r="F72" s="163"/>
      <c r="G72" s="181" t="s">
        <v>375</v>
      </c>
    </row>
    <row r="73" spans="1:7" ht="51">
      <c r="A73" s="173">
        <f>A72+1</f>
        <v>34</v>
      </c>
      <c r="B73" s="160" t="s">
        <v>209</v>
      </c>
      <c r="C73" s="168" t="str">
        <f>Questionnaire!Q135</f>
        <v>On or before 30 days</v>
      </c>
      <c r="D73" s="162">
        <f>IF(C73="n/a","n/a",IF(C73=criteria!C66,criteria!$D$5,IF(C73=criteria!E66,criteria!$F$5,IF(C73=criteria!G66,criteria!$H$5,IF(C73=criteria!I66,criteria!$J$5,0)))))</f>
        <v>3</v>
      </c>
      <c r="E73" s="163"/>
      <c r="F73" s="163"/>
      <c r="G73" s="160" t="s">
        <v>376</v>
      </c>
    </row>
    <row r="74" spans="1:7" s="131" customFormat="1" ht="12.75">
      <c r="A74" s="174"/>
      <c r="B74" s="165"/>
      <c r="C74" s="166"/>
      <c r="D74" s="167"/>
      <c r="E74" s="163"/>
      <c r="F74" s="160"/>
      <c r="G74" s="160"/>
    </row>
    <row r="75" spans="1:7" s="131" customFormat="1" ht="12.75" customHeight="1">
      <c r="A75" s="156"/>
      <c r="B75" s="157"/>
      <c r="C75" s="156" t="s">
        <v>377</v>
      </c>
      <c r="D75" s="175">
        <f>IF(AND(D55="n/a",D60="n/a",D65="n/a",D69="n/a",D74="n/a"),"n/a",AVERAGE(D52:D73))</f>
        <v>2.642857142857143</v>
      </c>
      <c r="E75" s="176"/>
      <c r="F75" s="177"/>
      <c r="G75" s="165"/>
    </row>
    <row r="76" spans="1:7" s="131" customFormat="1" ht="12.75" customHeight="1">
      <c r="A76" s="152" t="s">
        <v>378</v>
      </c>
      <c r="B76" s="153"/>
      <c r="C76" s="153"/>
      <c r="D76" s="153"/>
      <c r="E76" s="154"/>
      <c r="F76" s="153"/>
      <c r="G76" s="155"/>
    </row>
    <row r="77" spans="1:7" s="131" customFormat="1" ht="12.75" customHeight="1">
      <c r="A77" s="187" t="s">
        <v>211</v>
      </c>
      <c r="B77" s="188"/>
      <c r="C77" s="188"/>
      <c r="D77" s="188"/>
      <c r="E77" s="189"/>
      <c r="F77" s="188"/>
      <c r="G77" s="190"/>
    </row>
    <row r="78" spans="1:7" ht="51">
      <c r="A78" s="173">
        <v>35</v>
      </c>
      <c r="B78" s="160" t="s">
        <v>212</v>
      </c>
      <c r="C78" s="168" t="str">
        <f>Questionnaire!Q140</f>
        <v>Compliant </v>
      </c>
      <c r="D78" s="162">
        <f>IF(C78="n/a","n/a",IF(C78=criteria!C71,criteria!$D$5,IF(C78=criteria!E71,criteria!$F$5,IF(C78=criteria!G71,criteria!$H$5,IF(C78=criteria!I71,criteria!$J$5,0)))))</f>
        <v>3</v>
      </c>
      <c r="E78" s="163"/>
      <c r="F78" s="163"/>
      <c r="G78" s="160" t="s">
        <v>379</v>
      </c>
    </row>
    <row r="79" spans="1:7" ht="12.75">
      <c r="A79" s="159">
        <f>A78+1</f>
        <v>36</v>
      </c>
      <c r="B79" s="181" t="s">
        <v>213</v>
      </c>
      <c r="C79" s="161">
        <f>IF(ISERROR(computation!C21),"n/a",computation!C21)</f>
        <v>1.0232558139534884</v>
      </c>
      <c r="D79" s="162">
        <f>IF(C79="n/a","n/a",IF(C79&lt;criteria!E72,criteria!$D$5,IF(C79&lt;criteria!G72,criteria!$F$5,IF(C79&lt;criteria!I72,criteria!$H$5,criteria!$J$5))))</f>
        <v>3</v>
      </c>
      <c r="E79" s="186"/>
      <c r="F79" s="163"/>
      <c r="G79" s="181" t="s">
        <v>380</v>
      </c>
    </row>
    <row r="80" spans="1:7" s="131" customFormat="1" ht="12.75">
      <c r="A80" s="164"/>
      <c r="B80" s="183"/>
      <c r="C80" s="166"/>
      <c r="D80" s="167"/>
      <c r="E80" s="186"/>
      <c r="F80" s="160"/>
      <c r="G80" s="181"/>
    </row>
    <row r="81" spans="1:7" s="131" customFormat="1" ht="12.75" customHeight="1">
      <c r="A81" s="156" t="s">
        <v>218</v>
      </c>
      <c r="B81" s="157"/>
      <c r="C81" s="157"/>
      <c r="D81" s="157"/>
      <c r="E81" s="154"/>
      <c r="F81" s="157"/>
      <c r="G81" s="158"/>
    </row>
    <row r="82" spans="1:7" ht="51">
      <c r="A82" s="159">
        <v>37</v>
      </c>
      <c r="B82" s="181" t="s">
        <v>381</v>
      </c>
      <c r="C82" s="168" t="str">
        <f>Questionnaire!Q163</f>
        <v>Fully Compliant </v>
      </c>
      <c r="D82" s="162">
        <f>IF(C82="n/a","n/a",IF(C82=criteria!C75,criteria!$D$5,IF(C82=criteria!E75,criteria!$F$5,IF(C82=criteria!G75,criteria!$H$5,IF(C82=criteria!I75,criteria!$J$5,0)))))</f>
        <v>3</v>
      </c>
      <c r="E82" s="163"/>
      <c r="F82" s="163"/>
      <c r="G82" s="160" t="s">
        <v>382</v>
      </c>
    </row>
    <row r="83" spans="1:7" ht="38.25">
      <c r="A83" s="180">
        <f>A82+1</f>
        <v>38</v>
      </c>
      <c r="B83" s="181" t="s">
        <v>220</v>
      </c>
      <c r="C83" s="168" t="str">
        <f>Questionnaire!Q176</f>
        <v>Above 90-100%  compliance</v>
      </c>
      <c r="D83" s="162">
        <f>IF(C83="n/a","n/a",IF(C83=criteria!C76,criteria!$D$5,IF(C83=criteria!E76,criteria!$F$5,IF(C83=criteria!G76,criteria!$H$5,IF(C83=criteria!I76,criteria!$J$5,0)))))</f>
        <v>3</v>
      </c>
      <c r="E83" s="163"/>
      <c r="F83" s="163"/>
      <c r="G83" s="160" t="s">
        <v>383</v>
      </c>
    </row>
    <row r="84" spans="1:7" s="131" customFormat="1" ht="12.75">
      <c r="A84" s="182"/>
      <c r="B84" s="183"/>
      <c r="C84" s="166"/>
      <c r="D84" s="167"/>
      <c r="E84" s="163"/>
      <c r="F84" s="160"/>
      <c r="G84" s="160"/>
    </row>
    <row r="85" spans="1:7" s="131" customFormat="1" ht="12.75" customHeight="1">
      <c r="A85" s="156" t="s">
        <v>221</v>
      </c>
      <c r="B85" s="157"/>
      <c r="C85" s="157"/>
      <c r="D85" s="157"/>
      <c r="E85" s="154"/>
      <c r="F85" s="157"/>
      <c r="G85" s="158"/>
    </row>
    <row r="86" spans="1:7" ht="63.75">
      <c r="A86" s="173">
        <v>39</v>
      </c>
      <c r="B86" s="181" t="s">
        <v>222</v>
      </c>
      <c r="C86" s="168" t="str">
        <f>Questionnaire!Q184</f>
        <v>Fully Compliant </v>
      </c>
      <c r="D86" s="178">
        <f>IF(C86="n/a","n/a",IF(C86=criteria!C79,criteria!$D$5,IF(C86=criteria!E79,criteria!$F$5,IF(C86=criteria!G79,criteria!$H$5,IF(C86=criteria!I79,criteria!$J$5,0)))))</f>
        <v>3</v>
      </c>
      <c r="E86" s="163"/>
      <c r="F86" s="163"/>
      <c r="G86" s="160" t="s">
        <v>384</v>
      </c>
    </row>
    <row r="87" spans="1:7" s="131" customFormat="1" ht="12.75" customHeight="1">
      <c r="A87" s="156" t="s">
        <v>223</v>
      </c>
      <c r="B87" s="157"/>
      <c r="C87" s="157"/>
      <c r="D87" s="157"/>
      <c r="E87" s="154"/>
      <c r="F87" s="157"/>
      <c r="G87" s="158"/>
    </row>
    <row r="88" spans="1:7" ht="25.5">
      <c r="A88" s="173">
        <v>40</v>
      </c>
      <c r="B88" s="181" t="s">
        <v>224</v>
      </c>
      <c r="C88" s="168" t="str">
        <f>Questionnaire!Q195</f>
        <v>Fully Compliant </v>
      </c>
      <c r="D88" s="178">
        <f>IF(C88="n/a","n/a",IF(C88=criteria!C81,criteria!$D$5,IF(C88=criteria!E81,criteria!$F$5,IF(C88=criteria!G81,criteria!$H$5,IF(C88=criteria!I81,criteria!$J$5,0)))))</f>
        <v>3</v>
      </c>
      <c r="E88" s="163"/>
      <c r="F88" s="163"/>
      <c r="G88" s="160" t="s">
        <v>385</v>
      </c>
    </row>
    <row r="89" spans="1:7" s="131" customFormat="1" ht="12.75" customHeight="1">
      <c r="A89" s="156"/>
      <c r="B89" s="157"/>
      <c r="C89" s="156" t="s">
        <v>386</v>
      </c>
      <c r="D89" s="175">
        <f>IF(AND(D80="n/a",D84="n/a",D86="n/a",D88="n/a"),"n/a",AVERAGE(D78:D88))</f>
        <v>3</v>
      </c>
      <c r="E89" s="176"/>
      <c r="F89" s="177"/>
      <c r="G89" s="165"/>
    </row>
    <row r="90" spans="1:7" s="131" customFormat="1" ht="23.25" customHeight="1">
      <c r="A90" s="156" t="s">
        <v>387</v>
      </c>
      <c r="B90" s="157"/>
      <c r="C90" s="158"/>
      <c r="D90" s="191">
        <f>AVERAGE(D89,D75,D49,D32)</f>
        <v>2.556547619047619</v>
      </c>
      <c r="E90" s="176"/>
      <c r="F90" s="177"/>
      <c r="G90" s="165"/>
    </row>
    <row r="91" spans="1:7" s="91" customFormat="1" ht="12.75">
      <c r="A91" s="192"/>
      <c r="B91" s="193"/>
      <c r="C91" s="194"/>
      <c r="D91" s="195"/>
      <c r="E91" s="93"/>
      <c r="F91" s="93"/>
      <c r="G91" s="93"/>
    </row>
    <row r="92" spans="1:7" s="197" customFormat="1" ht="45" customHeight="1">
      <c r="A92" s="319" t="s">
        <v>388</v>
      </c>
      <c r="B92" s="319"/>
      <c r="C92" s="319"/>
      <c r="D92" s="319"/>
      <c r="E92" s="319"/>
      <c r="F92" s="319"/>
      <c r="G92" s="319"/>
    </row>
    <row r="93" spans="1:7" s="197" customFormat="1" ht="12.75" customHeight="1">
      <c r="A93" s="198"/>
      <c r="B93" s="196"/>
      <c r="C93" s="199"/>
      <c r="D93" s="200"/>
      <c r="E93" s="201"/>
      <c r="F93" s="196"/>
      <c r="G93" s="196"/>
    </row>
    <row r="94" spans="1:7" s="197" customFormat="1" ht="12.75" customHeight="1">
      <c r="A94" s="197" t="s">
        <v>389</v>
      </c>
      <c r="B94" s="202"/>
      <c r="C94" s="202"/>
      <c r="D94" s="202"/>
      <c r="E94" s="93"/>
      <c r="F94" s="202"/>
      <c r="G94" s="202"/>
    </row>
    <row r="95" spans="1:7" s="91" customFormat="1" ht="12.75">
      <c r="A95" s="95"/>
      <c r="B95" s="201"/>
      <c r="C95" s="203"/>
      <c r="D95" s="204"/>
      <c r="E95" s="201"/>
      <c r="F95" s="201"/>
      <c r="G95" s="201"/>
    </row>
    <row r="96" spans="1:7" s="91" customFormat="1" ht="12.75">
      <c r="A96" s="95"/>
      <c r="B96" s="201"/>
      <c r="C96" s="203"/>
      <c r="D96" s="204"/>
      <c r="E96" s="201"/>
      <c r="F96" s="201"/>
      <c r="G96" s="201"/>
    </row>
    <row r="97" spans="1:7" s="91" customFormat="1" ht="12.75">
      <c r="A97" s="95"/>
      <c r="B97" s="205" t="s">
        <v>390</v>
      </c>
      <c r="C97" s="206"/>
      <c r="D97" s="207"/>
      <c r="E97" s="201"/>
      <c r="F97" s="201"/>
      <c r="G97" s="201"/>
    </row>
    <row r="98" spans="1:7" s="91" customFormat="1" ht="12.75">
      <c r="A98" s="95"/>
      <c r="B98" s="205"/>
      <c r="C98" s="206"/>
      <c r="D98" s="207"/>
      <c r="E98" s="201"/>
      <c r="F98" s="201"/>
      <c r="G98" s="201"/>
    </row>
    <row r="99" spans="1:7" s="91" customFormat="1" ht="12.75">
      <c r="A99" s="95"/>
      <c r="B99" s="89" t="s">
        <v>391</v>
      </c>
      <c r="C99" s="208" t="s">
        <v>392</v>
      </c>
      <c r="D99" s="209" t="s">
        <v>393</v>
      </c>
      <c r="E99" s="201"/>
      <c r="F99" s="201"/>
      <c r="G99" s="201"/>
    </row>
    <row r="100" spans="1:7" s="91" customFormat="1" ht="12.75">
      <c r="A100" s="95"/>
      <c r="B100" s="90"/>
      <c r="C100" s="210"/>
      <c r="D100" s="211"/>
      <c r="E100" s="201"/>
      <c r="F100" s="201"/>
      <c r="G100" s="201"/>
    </row>
    <row r="101" spans="1:7" s="91" customFormat="1" ht="25.5">
      <c r="A101" s="95"/>
      <c r="B101" s="92" t="s">
        <v>394</v>
      </c>
      <c r="C101" s="212">
        <v>3</v>
      </c>
      <c r="D101" s="213">
        <f>D32</f>
        <v>1.5833333333333333</v>
      </c>
      <c r="E101" s="201"/>
      <c r="F101" s="201"/>
      <c r="G101" s="201"/>
    </row>
    <row r="102" spans="1:7" s="91" customFormat="1" ht="25.5">
      <c r="A102" s="95"/>
      <c r="B102" s="92" t="s">
        <v>395</v>
      </c>
      <c r="C102" s="212">
        <v>3</v>
      </c>
      <c r="D102" s="213">
        <f>D49</f>
        <v>3</v>
      </c>
      <c r="E102" s="201"/>
      <c r="F102" s="201"/>
      <c r="G102" s="201"/>
    </row>
    <row r="103" spans="1:7" s="91" customFormat="1" ht="25.5">
      <c r="A103" s="95"/>
      <c r="B103" s="92" t="s">
        <v>396</v>
      </c>
      <c r="C103" s="212">
        <v>3</v>
      </c>
      <c r="D103" s="213">
        <f>D75</f>
        <v>2.642857142857143</v>
      </c>
      <c r="E103" s="201"/>
      <c r="F103" s="201"/>
      <c r="G103" s="201"/>
    </row>
    <row r="104" spans="1:7" s="91" customFormat="1" ht="25.5">
      <c r="A104" s="95"/>
      <c r="B104" s="92" t="s">
        <v>397</v>
      </c>
      <c r="C104" s="212">
        <v>3</v>
      </c>
      <c r="D104" s="213">
        <f>D89</f>
        <v>3</v>
      </c>
      <c r="E104" s="201"/>
      <c r="F104" s="201"/>
      <c r="G104" s="201"/>
    </row>
    <row r="105" spans="1:7" s="91" customFormat="1" ht="12.75">
      <c r="A105" s="95"/>
      <c r="B105" s="214" t="s">
        <v>398</v>
      </c>
      <c r="C105" s="215">
        <v>3</v>
      </c>
      <c r="D105" s="216">
        <f>D90</f>
        <v>2.556547619047619</v>
      </c>
      <c r="E105" s="201"/>
      <c r="F105" s="201"/>
      <c r="G105" s="201"/>
    </row>
    <row r="106" spans="1:7" s="91" customFormat="1" ht="12.75">
      <c r="A106" s="217"/>
      <c r="B106" s="93"/>
      <c r="C106" s="203"/>
      <c r="D106" s="207"/>
      <c r="E106" s="93"/>
      <c r="F106" s="93"/>
      <c r="G106" s="93"/>
    </row>
  </sheetData>
  <sheetProtection password="D52D" sheet="1" objects="1" scenarios="1" formatCells="0" selectLockedCells="1"/>
  <mergeCells count="6">
    <mergeCell ref="B11:B12"/>
    <mergeCell ref="C11:C12"/>
    <mergeCell ref="D11:D12"/>
    <mergeCell ref="E11:E12"/>
    <mergeCell ref="G11:G12"/>
    <mergeCell ref="A92:G92"/>
  </mergeCells>
  <printOptions horizontalCentered="1"/>
  <pageMargins left="0.25" right="0.25" top="0.5" bottom="0.5" header="0.5118055555555555" footer="0.511805555555555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F22"/>
  <sheetViews>
    <sheetView zoomScalePageLayoutView="0" workbookViewId="0" topLeftCell="A13">
      <selection activeCell="A8" sqref="A8:F8"/>
    </sheetView>
  </sheetViews>
  <sheetFormatPr defaultColWidth="9.140625" defaultRowHeight="12.75"/>
  <cols>
    <col min="1" max="1" width="14.8515625" style="218" customWidth="1"/>
    <col min="2" max="2" width="48.421875" style="218" customWidth="1"/>
    <col min="3" max="3" width="56.57421875" style="218" customWidth="1"/>
    <col min="4" max="4" width="27.140625" style="218" customWidth="1"/>
    <col min="5" max="5" width="24.140625" style="218" customWidth="1"/>
    <col min="6" max="6" width="27.8515625" style="218" customWidth="1"/>
    <col min="7" max="16384" width="9.140625" style="218" customWidth="1"/>
  </cols>
  <sheetData>
    <row r="1" spans="1:6" ht="12.75" customHeight="1">
      <c r="A1" s="320" t="s">
        <v>399</v>
      </c>
      <c r="B1" s="320"/>
      <c r="C1" s="320"/>
      <c r="D1" s="320"/>
      <c r="E1" s="320"/>
      <c r="F1" s="320"/>
    </row>
    <row r="2" spans="1:6" ht="12.75" customHeight="1">
      <c r="A2" s="219"/>
      <c r="B2" s="219"/>
      <c r="C2" s="219"/>
      <c r="D2" s="219"/>
      <c r="E2" s="219"/>
      <c r="F2" s="219"/>
    </row>
    <row r="3" spans="1:6" ht="15.75">
      <c r="A3" s="320" t="s">
        <v>400</v>
      </c>
      <c r="B3" s="320"/>
      <c r="C3" s="320"/>
      <c r="D3" s="320"/>
      <c r="E3" s="320"/>
      <c r="F3" s="320"/>
    </row>
    <row r="5" spans="1:5" ht="12.75">
      <c r="A5" s="220" t="s">
        <v>421</v>
      </c>
      <c r="E5" s="220" t="s">
        <v>435</v>
      </c>
    </row>
    <row r="7" spans="1:6" ht="12.75">
      <c r="A7" s="321" t="s">
        <v>441</v>
      </c>
      <c r="B7" s="321"/>
      <c r="C7" s="321"/>
      <c r="D7" s="321"/>
      <c r="E7" s="321"/>
      <c r="F7" s="321"/>
    </row>
    <row r="8" spans="1:6" ht="13.5" thickBot="1">
      <c r="A8" s="322"/>
      <c r="B8" s="322"/>
      <c r="C8" s="322"/>
      <c r="D8" s="322"/>
      <c r="E8" s="322"/>
      <c r="F8" s="322"/>
    </row>
    <row r="9" spans="1:6" s="300" customFormat="1" ht="39.75" customHeight="1" thickBot="1">
      <c r="A9" s="221" t="s">
        <v>401</v>
      </c>
      <c r="B9" s="222" t="s">
        <v>402</v>
      </c>
      <c r="C9" s="223" t="s">
        <v>403</v>
      </c>
      <c r="D9" s="221" t="s">
        <v>404</v>
      </c>
      <c r="E9" s="222" t="s">
        <v>405</v>
      </c>
      <c r="F9" s="224" t="s">
        <v>406</v>
      </c>
    </row>
    <row r="10" spans="1:6" s="302" customFormat="1" ht="47.25" customHeight="1">
      <c r="A10" s="295" t="s">
        <v>423</v>
      </c>
      <c r="B10" s="296" t="s">
        <v>422</v>
      </c>
      <c r="C10" s="297" t="s">
        <v>437</v>
      </c>
      <c r="D10" s="298" t="s">
        <v>433</v>
      </c>
      <c r="E10" s="297"/>
      <c r="F10" s="299"/>
    </row>
    <row r="11" spans="1:6" s="302" customFormat="1" ht="46.5" customHeight="1">
      <c r="A11" s="301" t="s">
        <v>424</v>
      </c>
      <c r="B11" s="298" t="s">
        <v>420</v>
      </c>
      <c r="C11" s="297" t="s">
        <v>438</v>
      </c>
      <c r="D11" s="298" t="s">
        <v>433</v>
      </c>
      <c r="E11" s="297" t="s">
        <v>434</v>
      </c>
      <c r="F11" s="299" t="s">
        <v>436</v>
      </c>
    </row>
    <row r="12" spans="1:6" s="302" customFormat="1" ht="56.25" customHeight="1">
      <c r="A12" s="301">
        <v>3</v>
      </c>
      <c r="B12" s="298" t="s">
        <v>425</v>
      </c>
      <c r="C12" s="297" t="s">
        <v>426</v>
      </c>
      <c r="D12" s="298" t="s">
        <v>427</v>
      </c>
      <c r="E12" s="297" t="s">
        <v>428</v>
      </c>
      <c r="F12" s="299"/>
    </row>
    <row r="13" spans="1:6" s="302" customFormat="1" ht="64.5" customHeight="1">
      <c r="A13" s="301">
        <v>1</v>
      </c>
      <c r="B13" s="298" t="s">
        <v>429</v>
      </c>
      <c r="C13" s="297" t="s">
        <v>430</v>
      </c>
      <c r="D13" s="298" t="s">
        <v>431</v>
      </c>
      <c r="E13" s="297" t="s">
        <v>428</v>
      </c>
      <c r="F13" s="299"/>
    </row>
    <row r="14" spans="1:6" s="302" customFormat="1" ht="123" customHeight="1">
      <c r="A14" s="301">
        <v>8</v>
      </c>
      <c r="B14" s="298" t="s">
        <v>432</v>
      </c>
      <c r="C14" s="297" t="s">
        <v>439</v>
      </c>
      <c r="D14" s="298" t="s">
        <v>431</v>
      </c>
      <c r="E14" s="297" t="s">
        <v>428</v>
      </c>
      <c r="F14" s="299" t="s">
        <v>440</v>
      </c>
    </row>
    <row r="15" spans="1:6" s="302" customFormat="1" ht="39.75" customHeight="1">
      <c r="A15" s="301"/>
      <c r="B15" s="298"/>
      <c r="C15" s="297"/>
      <c r="D15" s="298"/>
      <c r="E15" s="297"/>
      <c r="F15" s="299"/>
    </row>
    <row r="16" spans="1:6" s="302" customFormat="1" ht="39.75" customHeight="1">
      <c r="A16" s="301"/>
      <c r="B16" s="298"/>
      <c r="C16" s="297"/>
      <c r="D16" s="298"/>
      <c r="E16" s="297"/>
      <c r="F16" s="299"/>
    </row>
    <row r="18" ht="12.75"/>
    <row r="19" ht="12.75"/>
    <row r="20" ht="12.75"/>
    <row r="21" spans="2:4" ht="12.75">
      <c r="B21" s="303" t="s">
        <v>413</v>
      </c>
      <c r="D21" s="303" t="s">
        <v>419</v>
      </c>
    </row>
    <row r="22" spans="2:4" ht="12.75">
      <c r="B22" s="304" t="s">
        <v>417</v>
      </c>
      <c r="D22" s="304" t="s">
        <v>418</v>
      </c>
    </row>
  </sheetData>
  <sheetProtection selectLockedCells="1" selectUnlockedCells="1"/>
  <mergeCells count="4">
    <mergeCell ref="A1:F1"/>
    <mergeCell ref="A3:F3"/>
    <mergeCell ref="A7:F7"/>
    <mergeCell ref="A8:F8"/>
  </mergeCells>
  <printOptions horizontalCentered="1"/>
  <pageMargins left="0.25" right="0.25" top="0.75" bottom="0.5" header="0.5118055555555555" footer="0.5118055555555555"/>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cp:lastPrinted>2017-03-31T02:22:41Z</cp:lastPrinted>
  <dcterms:created xsi:type="dcterms:W3CDTF">2016-03-16T02:56:01Z</dcterms:created>
  <dcterms:modified xsi:type="dcterms:W3CDTF">2017-03-31T17:47:27Z</dcterms:modified>
  <cp:category/>
  <cp:version/>
  <cp:contentType/>
  <cp:contentStatus/>
</cp:coreProperties>
</file>